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LCHO-DATA\Workgroups\Accounting\Financial Analysis\price model\"/>
    </mc:Choice>
  </mc:AlternateContent>
  <workbookProtection workbookAlgorithmName="SHA-512" workbookHashValue="7LEABk3LojLoycIA75vz4+8dLRVjOypc0dBmfX8S5BNlXQ3pglpVvrQNtwvx0yeeaPYaS44zAo/3UV8WdV3Q1w==" workbookSaltValue="z3uI00nHj2qUo0xcAGZBtg==" workbookSpinCount="100000" lockStructure="1"/>
  <bookViews>
    <workbookView xWindow="360" yWindow="240" windowWidth="11460" windowHeight="5835"/>
  </bookViews>
  <sheets>
    <sheet name="GENERAL APP" sheetId="6" r:id="rId1"/>
    <sheet name="Tab # 2 Organic Definition" sheetId="8" r:id="rId2"/>
    <sheet name="Origin Declaration" sheetId="18" r:id="rId3"/>
    <sheet name="Currency" sheetId="9" state="hidden" r:id="rId4"/>
    <sheet name="Freight Point" sheetId="10" state="hidden" r:id="rId5"/>
    <sheet name="Country" sheetId="16" state="hidden" r:id="rId6"/>
    <sheet name="Product Type" sheetId="11" state="hidden" r:id="rId7"/>
    <sheet name="Product Class" sheetId="17" state="hidden" r:id="rId8"/>
    <sheet name="Markup" sheetId="12" state="hidden" r:id="rId9"/>
    <sheet name="Duty" sheetId="13" state="hidden" r:id="rId10"/>
    <sheet name="Bottle Deposit" sheetId="14" state="hidden" r:id="rId11"/>
    <sheet name="Listing Type" sheetId="15" state="hidden" r:id="rId12"/>
  </sheets>
  <externalReferences>
    <externalReference r:id="rId13"/>
    <externalReference r:id="rId14"/>
  </externalReferences>
  <definedNames>
    <definedName name="_xlnm._FilterDatabase" localSheetId="9" hidden="1">Duty!$A$1:$E$129</definedName>
    <definedName name="_xlnm._FilterDatabase" localSheetId="8" hidden="1">Markup!$A$1:$N$308</definedName>
    <definedName name="BottleDeposit">'Bottle Deposit'!$A:$A</definedName>
    <definedName name="Country">Country!$A$1:$A$33</definedName>
    <definedName name="Currency">Currency!$A:$A</definedName>
    <definedName name="deposit">'GENERAL APP'!$AJ$15:$AJ$19</definedName>
    <definedName name="FreightPoint" localSheetId="5">Country!$A:$A</definedName>
    <definedName name="FreightPoint">'Freight Point'!$A:$A</definedName>
    <definedName name="ListingType" localSheetId="11">'Listing Type'!$A:$A</definedName>
    <definedName name="ListingType">'Listing Type'!$A:$A</definedName>
    <definedName name="_xlnm.Print_Area" localSheetId="0">'GENERAL APP'!$A$1:$H$96</definedName>
    <definedName name="_xlnm.Print_Area" localSheetId="2">'Origin Declaration'!$B$1:$H$49,'Origin Declaration'!$K$1:$S$51</definedName>
    <definedName name="_xlnm.Print_Titles" localSheetId="9">Duty!$1:$1</definedName>
    <definedName name="_xlnm.Print_Titles" localSheetId="0">'GENERAL APP'!$1:$3</definedName>
    <definedName name="ProductClass">'Product Class'!$A:$A</definedName>
    <definedName name="ProductType" localSheetId="7">'Product Class'!$A:$A</definedName>
    <definedName name="ProductType">'Product Type'!$A:$A</definedName>
    <definedName name="Style">'GENERAL APP'!$AC$15:$AC$25</definedName>
    <definedName name="Type_of_Application">'Listing Type'!$A:$A</definedName>
  </definedNames>
  <calcPr calcId="152511"/>
</workbook>
</file>

<file path=xl/calcChain.xml><?xml version="1.0" encoding="utf-8"?>
<calcChain xmlns="http://schemas.openxmlformats.org/spreadsheetml/2006/main">
  <c r="Q17" i="6" l="1"/>
  <c r="I107" i="12" l="1"/>
  <c r="H107" i="12"/>
  <c r="B107" i="12"/>
  <c r="D22" i="6" l="1"/>
  <c r="C22" i="6"/>
  <c r="B22" i="6"/>
  <c r="Q46" i="6"/>
  <c r="N46" i="6"/>
  <c r="M46" i="6"/>
  <c r="Q45" i="6"/>
  <c r="Q44" i="6"/>
  <c r="Q43" i="6"/>
  <c r="N43" i="6"/>
  <c r="M43" i="6"/>
  <c r="Q41" i="6"/>
  <c r="N41" i="6"/>
  <c r="M41" i="6"/>
  <c r="Q40" i="6"/>
  <c r="P40" i="6"/>
  <c r="O40" i="6"/>
  <c r="N40" i="6"/>
  <c r="M40" i="6"/>
  <c r="Q39" i="6"/>
  <c r="R41" i="6" l="1"/>
  <c r="S40" i="6"/>
  <c r="R43" i="6"/>
  <c r="R46" i="6"/>
  <c r="R40" i="6"/>
  <c r="K18" i="12" l="1"/>
  <c r="J18" i="12"/>
  <c r="I18" i="12"/>
  <c r="H18" i="12"/>
  <c r="B18" i="12"/>
  <c r="I100" i="12" l="1"/>
  <c r="H100" i="12"/>
  <c r="B100" i="12"/>
  <c r="H226" i="12" l="1"/>
  <c r="B226" i="12"/>
  <c r="H242" i="12" l="1"/>
  <c r="B242" i="12"/>
  <c r="B3" i="10" l="1"/>
  <c r="B10" i="10"/>
  <c r="B28" i="10"/>
  <c r="B33" i="10"/>
  <c r="B48" i="10"/>
  <c r="H213" i="12" l="1"/>
  <c r="B213" i="12"/>
  <c r="P17" i="6" l="1"/>
  <c r="A25" i="6" s="1"/>
  <c r="I298" i="12" l="1"/>
  <c r="H298" i="12"/>
  <c r="B298" i="12"/>
  <c r="H171" i="12" l="1"/>
  <c r="B171" i="12"/>
  <c r="H170" i="12"/>
  <c r="B170" i="12"/>
  <c r="H169" i="12"/>
  <c r="B169" i="12"/>
  <c r="H246" i="12" l="1"/>
  <c r="B246" i="12"/>
  <c r="I64" i="12" l="1"/>
  <c r="H64" i="12"/>
  <c r="B64" i="12"/>
  <c r="B13" i="6" l="1"/>
  <c r="AC18" i="6"/>
  <c r="AC19" i="6"/>
  <c r="AC20" i="6"/>
  <c r="AC22" i="6"/>
  <c r="AC23" i="6"/>
  <c r="AC24" i="6"/>
  <c r="AC25" i="6"/>
  <c r="AJ16" i="6" l="1"/>
  <c r="AJ17" i="6"/>
  <c r="AJ18" i="6"/>
  <c r="AJ19" i="6"/>
  <c r="AJ15" i="6"/>
  <c r="I300" i="12" l="1"/>
  <c r="H300" i="12"/>
  <c r="B300" i="12"/>
  <c r="H196" i="12" l="1"/>
  <c r="B196" i="12"/>
  <c r="H223" i="12" l="1"/>
  <c r="B223" i="12"/>
  <c r="H141" i="12"/>
  <c r="B141" i="12"/>
  <c r="H117" i="12" l="1"/>
  <c r="B117" i="12"/>
  <c r="H187" i="12"/>
  <c r="B187" i="12"/>
  <c r="H201" i="12" l="1"/>
  <c r="B201" i="12"/>
  <c r="H129" i="12"/>
  <c r="B129" i="12"/>
  <c r="I259" i="12" l="1"/>
  <c r="H259" i="12"/>
  <c r="B259" i="12"/>
  <c r="H234" i="12" l="1"/>
  <c r="B234" i="12"/>
  <c r="H137" i="12" l="1"/>
  <c r="B137" i="12"/>
  <c r="H243" i="12" l="1"/>
  <c r="B243" i="12"/>
  <c r="H225" i="12" l="1"/>
  <c r="B225" i="12"/>
  <c r="H218" i="12" l="1"/>
  <c r="B218" i="12"/>
  <c r="I274" i="12" l="1"/>
  <c r="H274" i="12"/>
  <c r="B274" i="12"/>
  <c r="H248" i="12" l="1"/>
  <c r="B248" i="12"/>
  <c r="H247" i="12"/>
  <c r="B247" i="12"/>
  <c r="H166" i="12" l="1"/>
  <c r="B166" i="12"/>
  <c r="B303" i="12" l="1"/>
  <c r="B302" i="12"/>
  <c r="B301" i="12"/>
  <c r="B158" i="12" l="1"/>
  <c r="B138" i="12"/>
  <c r="H158" i="12" l="1"/>
  <c r="H146" i="12" l="1"/>
  <c r="B146" i="12"/>
  <c r="H121" i="12"/>
  <c r="B121" i="12"/>
  <c r="H124" i="12" l="1"/>
  <c r="B124" i="12"/>
  <c r="AC15" i="6" l="1"/>
  <c r="AC17" i="6"/>
  <c r="AC16" i="6"/>
  <c r="H238" i="12" l="1"/>
  <c r="B238" i="12"/>
  <c r="H153" i="12"/>
  <c r="B153" i="12"/>
  <c r="H125" i="12" l="1"/>
  <c r="B125" i="12"/>
  <c r="H235" i="12" l="1"/>
  <c r="B235" i="12"/>
  <c r="H204" i="12" l="1"/>
  <c r="B204" i="12"/>
  <c r="H165" i="12" l="1"/>
  <c r="B165" i="12"/>
  <c r="I114" i="12" l="1"/>
  <c r="H114" i="12"/>
  <c r="B114" i="12"/>
  <c r="B305" i="12" l="1"/>
  <c r="B306" i="12"/>
  <c r="B307" i="12"/>
  <c r="B308" i="12"/>
  <c r="B304" i="12"/>
  <c r="B115" i="12"/>
  <c r="B116" i="12"/>
  <c r="B92" i="12"/>
  <c r="B93" i="12"/>
  <c r="B94" i="12"/>
  <c r="B95" i="12"/>
  <c r="B96" i="12"/>
  <c r="B97" i="12"/>
  <c r="B98" i="12"/>
  <c r="B99" i="12"/>
  <c r="B101" i="12"/>
  <c r="B102" i="12"/>
  <c r="B103" i="12"/>
  <c r="B104" i="12"/>
  <c r="B105" i="12"/>
  <c r="B106" i="12"/>
  <c r="B108" i="12"/>
  <c r="B109" i="12"/>
  <c r="B110" i="12"/>
  <c r="B111" i="12"/>
  <c r="B112" i="12"/>
  <c r="B113" i="12"/>
  <c r="B91" i="12"/>
  <c r="B295" i="12"/>
  <c r="B276" i="12" l="1"/>
  <c r="B280" i="12"/>
  <c r="B284" i="12"/>
  <c r="B288" i="12"/>
  <c r="B292" i="12"/>
  <c r="B296" i="12"/>
  <c r="B272" i="12"/>
  <c r="B277" i="12"/>
  <c r="B281" i="12"/>
  <c r="B285" i="12"/>
  <c r="B289" i="12"/>
  <c r="B293" i="12"/>
  <c r="B297" i="12"/>
  <c r="B273" i="12"/>
  <c r="B278" i="12"/>
  <c r="B282" i="12"/>
  <c r="B286" i="12"/>
  <c r="B290" i="12"/>
  <c r="B294" i="12"/>
  <c r="B299" i="12"/>
  <c r="B275" i="12"/>
  <c r="B279" i="12"/>
  <c r="B283" i="12"/>
  <c r="B287" i="12"/>
  <c r="B291" i="12"/>
  <c r="B63" i="12"/>
  <c r="H245" i="12" l="1"/>
  <c r="B245" i="12"/>
  <c r="I286" i="12" l="1"/>
  <c r="H286" i="12"/>
  <c r="I256" i="12" l="1"/>
  <c r="H256" i="12"/>
  <c r="H227" i="12" l="1"/>
  <c r="B227" i="12"/>
  <c r="B217" i="12" l="1"/>
  <c r="H189" i="12" l="1"/>
  <c r="B189" i="12"/>
  <c r="H244" i="12" l="1"/>
  <c r="B244" i="12"/>
  <c r="H195" i="12" l="1"/>
  <c r="B195" i="12"/>
  <c r="K16" i="12" l="1"/>
  <c r="J16" i="12"/>
  <c r="I16" i="12"/>
  <c r="H16" i="12"/>
  <c r="B16" i="12"/>
  <c r="H222" i="12" l="1"/>
  <c r="B222" i="12"/>
  <c r="B145" i="12" l="1"/>
  <c r="B144" i="12"/>
  <c r="H144" i="12"/>
  <c r="I292" i="12" l="1"/>
  <c r="H292" i="12"/>
  <c r="H237" i="12" l="1"/>
  <c r="B237" i="12"/>
  <c r="H91" i="12" l="1"/>
  <c r="I91" i="12"/>
  <c r="H92" i="12"/>
  <c r="I92" i="12"/>
  <c r="H93" i="12"/>
  <c r="I93" i="12"/>
  <c r="H94" i="12"/>
  <c r="I94" i="12"/>
  <c r="H95" i="12"/>
  <c r="I95" i="12"/>
  <c r="H96" i="12"/>
  <c r="I96" i="12"/>
  <c r="H97" i="12"/>
  <c r="I97" i="12"/>
  <c r="H98" i="12"/>
  <c r="I98" i="12"/>
  <c r="H99" i="12"/>
  <c r="I99" i="12"/>
  <c r="H101" i="12"/>
  <c r="I101" i="12"/>
  <c r="H102" i="12"/>
  <c r="I102" i="12"/>
  <c r="H103" i="12"/>
  <c r="I103" i="12"/>
  <c r="H104" i="12"/>
  <c r="I104" i="12"/>
  <c r="H105" i="12"/>
  <c r="I105" i="12"/>
  <c r="H106" i="12"/>
  <c r="I106" i="12"/>
  <c r="H108" i="12"/>
  <c r="I108" i="12"/>
  <c r="H109" i="12"/>
  <c r="I109" i="12"/>
  <c r="H110" i="12"/>
  <c r="I110" i="12"/>
  <c r="H111" i="12"/>
  <c r="I111" i="12"/>
  <c r="H112" i="12"/>
  <c r="I112" i="12"/>
  <c r="I113" i="12"/>
  <c r="H113" i="12"/>
  <c r="K308" i="12"/>
  <c r="J308" i="12"/>
  <c r="I308" i="12"/>
  <c r="H308" i="12"/>
  <c r="K307" i="12"/>
  <c r="J307" i="12"/>
  <c r="I307" i="12"/>
  <c r="H307" i="12"/>
  <c r="K306" i="12"/>
  <c r="J306" i="12"/>
  <c r="I306" i="12"/>
  <c r="H306" i="12"/>
  <c r="K305" i="12"/>
  <c r="J305" i="12"/>
  <c r="I305" i="12"/>
  <c r="H305" i="12"/>
  <c r="K304" i="12"/>
  <c r="J304" i="12"/>
  <c r="I304" i="12"/>
  <c r="H304" i="12"/>
  <c r="I299" i="12"/>
  <c r="H299" i="12"/>
  <c r="I297" i="12"/>
  <c r="H297" i="12"/>
  <c r="I296" i="12"/>
  <c r="H296" i="12"/>
  <c r="I295" i="12"/>
  <c r="H295" i="12"/>
  <c r="I294" i="12"/>
  <c r="H294" i="12"/>
  <c r="I293" i="12"/>
  <c r="H293" i="12"/>
  <c r="I291" i="12"/>
  <c r="H291" i="12"/>
  <c r="I290" i="12"/>
  <c r="H290" i="12"/>
  <c r="I289" i="12"/>
  <c r="H289" i="12"/>
  <c r="I288" i="12"/>
  <c r="H288" i="12"/>
  <c r="I287" i="12"/>
  <c r="H287" i="12"/>
  <c r="I285" i="12"/>
  <c r="H285" i="12"/>
  <c r="I284" i="12"/>
  <c r="H284" i="12"/>
  <c r="I283" i="12"/>
  <c r="H283" i="12"/>
  <c r="I282" i="12"/>
  <c r="H282" i="12"/>
  <c r="I281" i="12"/>
  <c r="H281" i="12"/>
  <c r="I280" i="12"/>
  <c r="H280" i="12"/>
  <c r="I279" i="12"/>
  <c r="H279" i="12"/>
  <c r="I278" i="12"/>
  <c r="H278" i="12"/>
  <c r="I277" i="12"/>
  <c r="H277" i="12"/>
  <c r="I276" i="12"/>
  <c r="H276" i="12"/>
  <c r="I275" i="12"/>
  <c r="H275" i="12"/>
  <c r="I273" i="12"/>
  <c r="H273" i="12"/>
  <c r="I272" i="12"/>
  <c r="H272" i="12"/>
  <c r="H254" i="12"/>
  <c r="I254" i="12"/>
  <c r="H255" i="12"/>
  <c r="I255" i="12"/>
  <c r="H257" i="12"/>
  <c r="I257" i="12"/>
  <c r="H258" i="12"/>
  <c r="I258" i="12"/>
  <c r="H260" i="12"/>
  <c r="I260" i="12"/>
  <c r="H261" i="12"/>
  <c r="I261" i="12"/>
  <c r="H262" i="12"/>
  <c r="I262" i="12"/>
  <c r="H263" i="12"/>
  <c r="I263" i="12"/>
  <c r="H264" i="12"/>
  <c r="I264" i="12"/>
  <c r="H265" i="12"/>
  <c r="I265" i="12"/>
  <c r="H266" i="12"/>
  <c r="I266" i="12"/>
  <c r="H267" i="12"/>
  <c r="I267" i="12"/>
  <c r="H268" i="12"/>
  <c r="I268" i="12"/>
  <c r="H269" i="12"/>
  <c r="I269" i="12"/>
  <c r="I270" i="12"/>
  <c r="H270" i="12"/>
  <c r="I79" i="12"/>
  <c r="H79" i="12"/>
  <c r="I78" i="12"/>
  <c r="H78" i="12"/>
  <c r="I77" i="12"/>
  <c r="H77" i="12"/>
  <c r="I76" i="12"/>
  <c r="H76" i="12"/>
  <c r="I75" i="12"/>
  <c r="H75" i="12"/>
  <c r="I74" i="12"/>
  <c r="H74" i="12"/>
  <c r="I73" i="12"/>
  <c r="H73" i="12"/>
  <c r="I72" i="12"/>
  <c r="H72" i="12"/>
  <c r="I71" i="12"/>
  <c r="H71" i="12"/>
  <c r="I70" i="12"/>
  <c r="H70" i="12"/>
  <c r="I69" i="12"/>
  <c r="H69" i="12"/>
  <c r="I68" i="12"/>
  <c r="H68" i="12"/>
  <c r="I67" i="12"/>
  <c r="H67" i="12"/>
  <c r="I66" i="12"/>
  <c r="H66" i="12"/>
  <c r="I65" i="12"/>
  <c r="H65" i="12"/>
  <c r="I63" i="12"/>
  <c r="H63" i="12"/>
  <c r="I62" i="12"/>
  <c r="H62" i="12"/>
  <c r="I61" i="12"/>
  <c r="H61" i="12"/>
  <c r="I60" i="12"/>
  <c r="H60" i="12"/>
  <c r="I59" i="12"/>
  <c r="H59" i="12"/>
  <c r="I58" i="12"/>
  <c r="H58" i="12"/>
  <c r="I57" i="12"/>
  <c r="H57" i="12"/>
  <c r="I56" i="12"/>
  <c r="H56" i="12"/>
  <c r="I55" i="12"/>
  <c r="H55" i="12"/>
  <c r="I54" i="12"/>
  <c r="H54" i="12"/>
  <c r="I53" i="12"/>
  <c r="H53" i="12"/>
  <c r="I52" i="12"/>
  <c r="H52" i="12"/>
  <c r="I51" i="12"/>
  <c r="H51" i="12"/>
  <c r="I50" i="12"/>
  <c r="H50" i="12"/>
  <c r="I49" i="12"/>
  <c r="H49" i="12"/>
  <c r="I48" i="12"/>
  <c r="H48" i="12"/>
  <c r="I47" i="12"/>
  <c r="H47" i="12"/>
  <c r="I46" i="12"/>
  <c r="H46" i="12"/>
  <c r="I45" i="12"/>
  <c r="H45" i="12"/>
  <c r="I44" i="12"/>
  <c r="H44" i="12"/>
  <c r="I43" i="12"/>
  <c r="H43" i="12"/>
  <c r="I42" i="12"/>
  <c r="H42" i="12"/>
  <c r="I41" i="12"/>
  <c r="H41" i="12"/>
  <c r="I40" i="12"/>
  <c r="H40" i="12"/>
  <c r="I39" i="12"/>
  <c r="H39" i="12"/>
  <c r="I38" i="12"/>
  <c r="H38" i="12"/>
  <c r="I37" i="12"/>
  <c r="H37" i="12"/>
  <c r="I36" i="12"/>
  <c r="H36" i="12"/>
  <c r="I35" i="12"/>
  <c r="H35" i="12"/>
  <c r="I22" i="12"/>
  <c r="I23" i="12"/>
  <c r="I24" i="12"/>
  <c r="I25" i="12"/>
  <c r="I26" i="12"/>
  <c r="I27" i="12"/>
  <c r="I28" i="12"/>
  <c r="I29" i="12"/>
  <c r="I30" i="12"/>
  <c r="I31" i="12"/>
  <c r="I32" i="12"/>
  <c r="I33" i="12"/>
  <c r="H22" i="12"/>
  <c r="H23" i="12"/>
  <c r="H24" i="12"/>
  <c r="H25" i="12"/>
  <c r="H26" i="12"/>
  <c r="H27" i="12"/>
  <c r="H28" i="12"/>
  <c r="H29" i="12"/>
  <c r="H30" i="12"/>
  <c r="H31" i="12"/>
  <c r="H32" i="12"/>
  <c r="H33" i="12"/>
  <c r="H21" i="12"/>
  <c r="H20" i="12"/>
  <c r="H19" i="12"/>
  <c r="H17" i="12"/>
  <c r="H15" i="12"/>
  <c r="H13" i="12"/>
  <c r="K21" i="12"/>
  <c r="J21" i="12"/>
  <c r="I21" i="12"/>
  <c r="K20" i="12"/>
  <c r="J20" i="12"/>
  <c r="I20" i="12"/>
  <c r="K19" i="12"/>
  <c r="J19" i="12"/>
  <c r="I19" i="12"/>
  <c r="K17" i="12"/>
  <c r="J17" i="12"/>
  <c r="I17" i="12"/>
  <c r="K15" i="12"/>
  <c r="J15" i="12"/>
  <c r="I15" i="12"/>
  <c r="K3" i="12"/>
  <c r="K4" i="12"/>
  <c r="K5" i="12"/>
  <c r="K6" i="12"/>
  <c r="K7" i="12"/>
  <c r="K8" i="12"/>
  <c r="K9" i="12"/>
  <c r="K10" i="12"/>
  <c r="K11" i="12"/>
  <c r="K12" i="12"/>
  <c r="K13" i="12"/>
  <c r="J3" i="12"/>
  <c r="J4" i="12"/>
  <c r="J5" i="12"/>
  <c r="J6" i="12"/>
  <c r="J7" i="12"/>
  <c r="J8" i="12"/>
  <c r="J9" i="12"/>
  <c r="J10" i="12"/>
  <c r="J11" i="12"/>
  <c r="J12" i="12"/>
  <c r="J13" i="12"/>
  <c r="I3" i="12"/>
  <c r="I4" i="12"/>
  <c r="I5" i="12"/>
  <c r="I6" i="12"/>
  <c r="I7" i="12"/>
  <c r="I8" i="12"/>
  <c r="I9" i="12"/>
  <c r="I10" i="12"/>
  <c r="I11" i="12"/>
  <c r="I12" i="12"/>
  <c r="I13" i="12"/>
  <c r="H3" i="12"/>
  <c r="H4" i="12"/>
  <c r="H5" i="12"/>
  <c r="H6" i="12"/>
  <c r="H7" i="12"/>
  <c r="H8" i="12"/>
  <c r="H9" i="12"/>
  <c r="H10" i="12"/>
  <c r="H11" i="12"/>
  <c r="H12" i="12"/>
  <c r="H212" i="12" l="1"/>
  <c r="B212" i="12"/>
  <c r="H198" i="12" l="1"/>
  <c r="B198" i="12"/>
  <c r="H131" i="12" l="1"/>
  <c r="B131" i="12"/>
  <c r="M32" i="6" l="1"/>
  <c r="H163" i="12"/>
  <c r="B163" i="12"/>
  <c r="H162" i="12"/>
  <c r="B162" i="12"/>
  <c r="H161" i="12"/>
  <c r="B161" i="12"/>
  <c r="H160" i="12"/>
  <c r="B160" i="12"/>
  <c r="H230" i="12" l="1"/>
  <c r="B230" i="12"/>
  <c r="B8" i="12" l="1"/>
  <c r="B44" i="12" l="1"/>
  <c r="H148" i="12" l="1"/>
  <c r="B148" i="12"/>
  <c r="H207" i="12" l="1"/>
  <c r="B207" i="12"/>
  <c r="H231" i="12" l="1"/>
  <c r="B231" i="12"/>
  <c r="B199" i="12" l="1"/>
  <c r="B200" i="12"/>
  <c r="B202" i="12"/>
  <c r="H149" i="12" l="1"/>
  <c r="B149" i="12"/>
  <c r="H151" i="12"/>
  <c r="B151" i="12"/>
  <c r="H236" i="12"/>
  <c r="B236" i="12"/>
  <c r="B193" i="12"/>
  <c r="B122" i="12"/>
  <c r="B79" i="12"/>
  <c r="B78" i="12"/>
  <c r="B77" i="12"/>
  <c r="B76" i="12"/>
  <c r="B75" i="12"/>
  <c r="B74" i="12"/>
  <c r="B73" i="12"/>
  <c r="B72" i="12"/>
  <c r="B71" i="12"/>
  <c r="B70" i="12"/>
  <c r="B69" i="12"/>
  <c r="B68" i="12"/>
  <c r="B67" i="12"/>
  <c r="B66" i="12"/>
  <c r="B65" i="12"/>
  <c r="B62" i="12"/>
  <c r="B61" i="12"/>
  <c r="B60" i="12"/>
  <c r="B59" i="12"/>
  <c r="B58" i="12"/>
  <c r="B57" i="12"/>
  <c r="B56" i="12"/>
  <c r="B55" i="12"/>
  <c r="B54" i="12"/>
  <c r="B53" i="12"/>
  <c r="B52" i="12"/>
  <c r="B51" i="12"/>
  <c r="B17" i="12"/>
  <c r="H210" i="12"/>
  <c r="B210" i="12"/>
  <c r="B4" i="12"/>
  <c r="H130" i="12"/>
  <c r="B130" i="12"/>
  <c r="H203" i="12"/>
  <c r="B203" i="12"/>
  <c r="E33" i="6"/>
  <c r="H251" i="12"/>
  <c r="B251" i="12"/>
  <c r="M24" i="6"/>
  <c r="N24" i="6" s="1"/>
  <c r="M13" i="6"/>
  <c r="N13" i="6" s="1"/>
  <c r="P13" i="6"/>
  <c r="H168" i="12"/>
  <c r="B168" i="12"/>
  <c r="F14" i="6"/>
  <c r="B13" i="12"/>
  <c r="B12" i="12"/>
  <c r="B11" i="12"/>
  <c r="B10" i="12"/>
  <c r="B9" i="12"/>
  <c r="B7" i="12"/>
  <c r="B6" i="12"/>
  <c r="B5" i="12"/>
  <c r="B3" i="12"/>
  <c r="B2" i="12"/>
  <c r="B15" i="12"/>
  <c r="B20" i="12"/>
  <c r="B21" i="12"/>
  <c r="B19" i="12"/>
  <c r="A17" i="6"/>
  <c r="N20" i="6"/>
  <c r="L14" i="6"/>
  <c r="M15" i="6" s="1"/>
  <c r="M18" i="6"/>
  <c r="N27" i="6" s="1"/>
  <c r="M16" i="6"/>
  <c r="H253" i="12"/>
  <c r="B253" i="12"/>
  <c r="H252" i="12"/>
  <c r="B252" i="12"/>
  <c r="H250" i="12"/>
  <c r="B250" i="12"/>
  <c r="H249" i="12"/>
  <c r="B249" i="12"/>
  <c r="H241" i="12"/>
  <c r="B241" i="12"/>
  <c r="H240" i="12"/>
  <c r="B240" i="12"/>
  <c r="H239" i="12"/>
  <c r="B239" i="12"/>
  <c r="H233" i="12"/>
  <c r="B233" i="12"/>
  <c r="H232" i="12"/>
  <c r="B232" i="12"/>
  <c r="H229" i="12"/>
  <c r="B229" i="12"/>
  <c r="H228" i="12"/>
  <c r="B228" i="12"/>
  <c r="H224" i="12"/>
  <c r="B224" i="12"/>
  <c r="H221" i="12"/>
  <c r="B221" i="12"/>
  <c r="H220" i="12"/>
  <c r="B220" i="12"/>
  <c r="H219" i="12"/>
  <c r="B219" i="12"/>
  <c r="H217" i="12"/>
  <c r="H216" i="12"/>
  <c r="B216" i="12"/>
  <c r="H215" i="12"/>
  <c r="B215" i="12"/>
  <c r="H214" i="12"/>
  <c r="B214" i="12"/>
  <c r="H211" i="12"/>
  <c r="B211" i="12"/>
  <c r="H209" i="12"/>
  <c r="B209" i="12"/>
  <c r="H208" i="12"/>
  <c r="B208" i="12"/>
  <c r="H206" i="12"/>
  <c r="B206" i="12"/>
  <c r="H205" i="12"/>
  <c r="B205" i="12"/>
  <c r="H202" i="12"/>
  <c r="H200" i="12"/>
  <c r="H199" i="12"/>
  <c r="H197" i="12"/>
  <c r="B197" i="12"/>
  <c r="H194" i="12"/>
  <c r="B194" i="12"/>
  <c r="H193" i="12"/>
  <c r="H192" i="12"/>
  <c r="B192" i="12"/>
  <c r="H191" i="12"/>
  <c r="B191" i="12"/>
  <c r="H190" i="12"/>
  <c r="B190" i="12"/>
  <c r="H188" i="12"/>
  <c r="B188" i="12"/>
  <c r="H186" i="12"/>
  <c r="C186" i="12"/>
  <c r="B186" i="12"/>
  <c r="H182" i="12"/>
  <c r="H181" i="12"/>
  <c r="H180" i="12"/>
  <c r="C180" i="12"/>
  <c r="B180" i="12"/>
  <c r="H178" i="12"/>
  <c r="H176" i="12"/>
  <c r="C176" i="12"/>
  <c r="B176" i="12"/>
  <c r="H172" i="12"/>
  <c r="H167" i="12"/>
  <c r="B167" i="12"/>
  <c r="H164" i="12"/>
  <c r="B164" i="12"/>
  <c r="H159" i="12"/>
  <c r="B159" i="12"/>
  <c r="H157" i="12"/>
  <c r="B157" i="12"/>
  <c r="H156" i="12"/>
  <c r="B156" i="12"/>
  <c r="H155" i="12"/>
  <c r="B155" i="12"/>
  <c r="H154" i="12"/>
  <c r="B154" i="12"/>
  <c r="H152" i="12"/>
  <c r="B152" i="12"/>
  <c r="H150" i="12"/>
  <c r="B150" i="12"/>
  <c r="H147" i="12"/>
  <c r="B147" i="12"/>
  <c r="H145" i="12"/>
  <c r="H143" i="12"/>
  <c r="B143" i="12"/>
  <c r="H142" i="12"/>
  <c r="B142" i="12"/>
  <c r="H140" i="12"/>
  <c r="B140" i="12"/>
  <c r="H139" i="12"/>
  <c r="B139" i="12"/>
  <c r="H138" i="12"/>
  <c r="H136" i="12"/>
  <c r="B136" i="12"/>
  <c r="H135" i="12"/>
  <c r="B135" i="12"/>
  <c r="H134" i="12"/>
  <c r="B134" i="12"/>
  <c r="H133" i="12"/>
  <c r="B133" i="12"/>
  <c r="H132" i="12"/>
  <c r="B132" i="12"/>
  <c r="H128" i="12"/>
  <c r="B128" i="12"/>
  <c r="H127" i="12"/>
  <c r="B127" i="12"/>
  <c r="H126" i="12"/>
  <c r="B126" i="12"/>
  <c r="H123" i="12"/>
  <c r="B123" i="12"/>
  <c r="H122" i="12"/>
  <c r="H120" i="12"/>
  <c r="B120" i="12"/>
  <c r="H119" i="12"/>
  <c r="B119" i="12"/>
  <c r="H118" i="12"/>
  <c r="B118" i="12"/>
  <c r="I116" i="12"/>
  <c r="H116" i="12"/>
  <c r="I115" i="12"/>
  <c r="H115" i="12"/>
  <c r="B50" i="12"/>
  <c r="B49" i="12"/>
  <c r="B48" i="12"/>
  <c r="B47" i="12"/>
  <c r="B46" i="12"/>
  <c r="B45" i="12"/>
  <c r="B43" i="12"/>
  <c r="B42" i="12"/>
  <c r="B41" i="12"/>
  <c r="B40" i="12"/>
  <c r="B39" i="12"/>
  <c r="B38" i="12"/>
  <c r="B37" i="12"/>
  <c r="B36" i="12"/>
  <c r="B35" i="12"/>
  <c r="B33" i="12"/>
  <c r="B32" i="12"/>
  <c r="B31" i="12"/>
  <c r="B30" i="12"/>
  <c r="B29" i="12"/>
  <c r="B28" i="12"/>
  <c r="B27" i="12"/>
  <c r="B26" i="12"/>
  <c r="B25" i="12"/>
  <c r="B24" i="12"/>
  <c r="B23" i="12"/>
  <c r="B22" i="12"/>
  <c r="M14" i="6"/>
  <c r="M19" i="6" l="1"/>
  <c r="N19" i="6" s="1"/>
  <c r="O20" i="6"/>
  <c r="S20" i="6" s="1"/>
  <c r="Q25" i="6"/>
  <c r="L15" i="6"/>
  <c r="M27" i="6" l="1"/>
  <c r="M38" i="6"/>
  <c r="M44" i="6" s="1"/>
  <c r="O38" i="6"/>
  <c r="O39" i="6" s="1"/>
  <c r="N38" i="6"/>
  <c r="N44" i="6" s="1"/>
  <c r="P38" i="6"/>
  <c r="P39" i="6" s="1"/>
  <c r="S39" i="6" s="1"/>
  <c r="S47" i="6" s="1"/>
  <c r="N25" i="6"/>
  <c r="Q20" i="6"/>
  <c r="R20" i="6"/>
  <c r="M20" i="6" s="1"/>
  <c r="O25" i="6" s="1"/>
  <c r="P20" i="6"/>
  <c r="M29" i="6"/>
  <c r="R44" i="6" l="1"/>
  <c r="N45" i="6"/>
  <c r="N39" i="6"/>
  <c r="M45" i="6"/>
  <c r="M39" i="6"/>
  <c r="M23" i="6"/>
  <c r="M25" i="6" s="1"/>
  <c r="M26" i="6" s="1"/>
  <c r="N22" i="6"/>
  <c r="R45" i="6" l="1"/>
  <c r="R39" i="6"/>
  <c r="N23" i="6"/>
  <c r="O26" i="6" s="1"/>
  <c r="N26" i="6" s="1"/>
  <c r="N28" i="6" s="1"/>
  <c r="M28" i="6" s="1"/>
  <c r="P25" i="6"/>
  <c r="R47" i="6" l="1"/>
  <c r="R48" i="6" s="1"/>
  <c r="M30" i="6"/>
  <c r="M31" i="6" s="1"/>
  <c r="M33" i="6" l="1"/>
  <c r="C18" i="6" l="1"/>
  <c r="E22" i="6" s="1"/>
  <c r="A22" i="6" s="1"/>
  <c r="B269" i="12"/>
  <c r="B267" i="12"/>
  <c r="B268" i="12"/>
  <c r="B256" i="12"/>
  <c r="B266" i="12"/>
  <c r="B254" i="12"/>
  <c r="B260" i="12"/>
  <c r="B261" i="12"/>
  <c r="B270" i="12"/>
  <c r="B258" i="12"/>
  <c r="B264" i="12"/>
  <c r="B265" i="12"/>
  <c r="B257" i="12"/>
  <c r="B263" i="12"/>
  <c r="B262" i="12"/>
  <c r="B255" i="12"/>
  <c r="M37" i="6" l="1"/>
</calcChain>
</file>

<file path=xl/comments1.xml><?xml version="1.0" encoding="utf-8"?>
<comments xmlns="http://schemas.openxmlformats.org/spreadsheetml/2006/main">
  <authors>
    <author>LeGrow, Roy</author>
  </authors>
  <commentList>
    <comment ref="M26" authorId="0" shapeId="0">
      <text>
        <r>
          <rPr>
            <b/>
            <sz val="9"/>
            <color indexed="81"/>
            <rFont val="Tahoma"/>
            <family val="2"/>
          </rPr>
          <t>LeGrow, Roy:</t>
        </r>
        <r>
          <rPr>
            <sz val="9"/>
            <color indexed="81"/>
            <rFont val="Tahoma"/>
            <family val="2"/>
          </rPr>
          <t xml:space="preserve">
Trunc function added
</t>
        </r>
      </text>
    </comment>
  </commentList>
</comments>
</file>

<file path=xl/comments2.xml><?xml version="1.0" encoding="utf-8"?>
<comments xmlns="http://schemas.openxmlformats.org/spreadsheetml/2006/main">
  <authors>
    <author>Roy LeGrow</author>
  </authors>
  <commentList>
    <comment ref="B122" authorId="0" shapeId="0">
      <text>
        <r>
          <rPr>
            <b/>
            <sz val="8"/>
            <color indexed="81"/>
            <rFont val="Tahoma"/>
            <family val="2"/>
          </rPr>
          <t>Roy LeGrow:</t>
        </r>
        <r>
          <rPr>
            <sz val="8"/>
            <color indexed="81"/>
            <rFont val="Tahoma"/>
            <family val="2"/>
          </rPr>
          <t xml:space="preserve">
To achieve a retail of 3.49, 1 cent was added to fixed markup</t>
        </r>
      </text>
    </comment>
  </commentList>
</comments>
</file>

<file path=xl/sharedStrings.xml><?xml version="1.0" encoding="utf-8"?>
<sst xmlns="http://schemas.openxmlformats.org/spreadsheetml/2006/main" count="1316" uniqueCount="1066">
  <si>
    <t>Agent Informatiom:</t>
  </si>
  <si>
    <t>Product Information:</t>
  </si>
  <si>
    <t>Product Name:</t>
  </si>
  <si>
    <t>Currency Used:</t>
  </si>
  <si>
    <t>Bottle size (ml):</t>
  </si>
  <si>
    <t>Case Weight (kg):</t>
  </si>
  <si>
    <t>Case Width (cm):</t>
  </si>
  <si>
    <t>Case Height (cm):</t>
  </si>
  <si>
    <t>Case Length (cm):</t>
  </si>
  <si>
    <t>Name</t>
  </si>
  <si>
    <t>Tel:</t>
  </si>
  <si>
    <t>Fax:</t>
  </si>
  <si>
    <t>Email:</t>
  </si>
  <si>
    <t>Email</t>
  </si>
  <si>
    <t>Name:</t>
  </si>
  <si>
    <t>Percentage of Alcohol:</t>
  </si>
  <si>
    <t>Vintage Year:</t>
  </si>
  <si>
    <t>Product Availability Date:</t>
  </si>
  <si>
    <t>Yes</t>
  </si>
  <si>
    <t>No</t>
  </si>
  <si>
    <t>UPC ( EAN) Code:</t>
  </si>
  <si>
    <t>SCC Code:</t>
  </si>
  <si>
    <t>Pallet Tie:</t>
  </si>
  <si>
    <t>Pallet High:</t>
  </si>
  <si>
    <t>Product Packaging Type:</t>
  </si>
  <si>
    <t>Shipping Case Packaging Type:</t>
  </si>
  <si>
    <t>Packaging Types</t>
  </si>
  <si>
    <t>Glass</t>
  </si>
  <si>
    <t>Plastic</t>
  </si>
  <si>
    <t>Other</t>
  </si>
  <si>
    <t>Shipping Case Packaging Type</t>
  </si>
  <si>
    <t>Wooden Cases</t>
  </si>
  <si>
    <t>Cardboard Cases</t>
  </si>
  <si>
    <t>1.</t>
  </si>
  <si>
    <t>2.</t>
  </si>
  <si>
    <t>3.</t>
  </si>
  <si>
    <t>4.</t>
  </si>
  <si>
    <t>%</t>
  </si>
  <si>
    <t>Sweetness Code:</t>
  </si>
  <si>
    <t>Drink by Date:</t>
  </si>
  <si>
    <t>Anticipated Maturity:</t>
  </si>
  <si>
    <t>Supplier Information:</t>
  </si>
  <si>
    <t>Contact:</t>
  </si>
  <si>
    <t>Address for Payment of Invoices:</t>
  </si>
  <si>
    <t>Name and Address of National Agent:</t>
  </si>
  <si>
    <t>Sweetness Codes</t>
  </si>
  <si>
    <t>03 - Medium</t>
  </si>
  <si>
    <t>01 - Very Dry</t>
  </si>
  <si>
    <t>02 - Dry</t>
  </si>
  <si>
    <t>04 - Sweet</t>
  </si>
  <si>
    <t>05 - Very Sweet</t>
  </si>
  <si>
    <t>Aluminum Cans</t>
  </si>
  <si>
    <t>Ceramic/Porcelain</t>
  </si>
  <si>
    <t>Bag/Carton</t>
  </si>
  <si>
    <t>Canada-VQA</t>
  </si>
  <si>
    <t>Canada-Light</t>
  </si>
  <si>
    <t>France-Bordeaux-Medoc</t>
  </si>
  <si>
    <t>France-Bordeaux-Haut Medoc</t>
  </si>
  <si>
    <t>France-Bordeaux-Pauillac</t>
  </si>
  <si>
    <t>France-Bordeaux-Graves</t>
  </si>
  <si>
    <t>France-Bordeaux-Pomerol</t>
  </si>
  <si>
    <t>France-Bordeaux-Sauternes</t>
  </si>
  <si>
    <t>France-Bordeaux-Other</t>
  </si>
  <si>
    <t>France-Bordeaux-Vin de Table</t>
  </si>
  <si>
    <t>France-Champagne</t>
  </si>
  <si>
    <t>France-Alsace</t>
  </si>
  <si>
    <t>Australia-Wst Aus-Perth Hills</t>
  </si>
  <si>
    <t>Australia-Tasmania-Hobart</t>
  </si>
  <si>
    <t>Australia-Sth Wales-Swan Hill</t>
  </si>
  <si>
    <t>Australia-Sth Wales-Murray Dlg</t>
  </si>
  <si>
    <t>Australia-Sth Wales-Canberra</t>
  </si>
  <si>
    <t>Australia-Sth Wales-Hilltops</t>
  </si>
  <si>
    <t>Australia-Sth Wales-Riverina</t>
  </si>
  <si>
    <t>Australia-Sth Wales-Shoalhaven</t>
  </si>
  <si>
    <t>Australia-Sth Wales-Cowra</t>
  </si>
  <si>
    <t>Australia-Sth Wales-Orange</t>
  </si>
  <si>
    <t>Australia-Victoria-Heathcote</t>
  </si>
  <si>
    <t>Australia-Victoria-Sunbury</t>
  </si>
  <si>
    <t>France-Bordeaux-Margaux</t>
  </si>
  <si>
    <t>France-Bordeaux-Barsac</t>
  </si>
  <si>
    <t>France-Bordeaux-Fronsac</t>
  </si>
  <si>
    <t>France-Bordeaux-Listrac</t>
  </si>
  <si>
    <t>France-Bordeaux-Moulis</t>
  </si>
  <si>
    <t>France-Bordeaux-Pessac Leognan</t>
  </si>
  <si>
    <t>France-Bordeaux-Cotes de Bourg</t>
  </si>
  <si>
    <t>Hierarchy</t>
  </si>
  <si>
    <t>Fortified Wine-Other Fortified</t>
  </si>
  <si>
    <t>Listing Types:</t>
  </si>
  <si>
    <t>New Product</t>
  </si>
  <si>
    <t>Size Extension</t>
  </si>
  <si>
    <t>Exchange</t>
  </si>
  <si>
    <t>Type of Application:</t>
  </si>
  <si>
    <t>Fortified Wine-Sherry</t>
  </si>
  <si>
    <t xml:space="preserve">Fortified Wine-Vermouth-Dry </t>
  </si>
  <si>
    <t xml:space="preserve">Fortified Wine-Vermouth-Sweet </t>
  </si>
  <si>
    <t>Fortified Wine-Apertif</t>
  </si>
  <si>
    <t>Fortified Wine-Madeira</t>
  </si>
  <si>
    <t>Table Wine-White</t>
  </si>
  <si>
    <t xml:space="preserve">Table Wine-Red </t>
  </si>
  <si>
    <t xml:space="preserve">Table Wine-Rose </t>
  </si>
  <si>
    <t xml:space="preserve">Table Wine-Fruit </t>
  </si>
  <si>
    <t>Sparkling Wine-Champagne</t>
  </si>
  <si>
    <t xml:space="preserve">Sparkling Wine-&lt;=7% </t>
  </si>
  <si>
    <t xml:space="preserve">Sparkling Wine-&gt;7% </t>
  </si>
  <si>
    <t>Low Alcohol Wine-&gt;7% Sparkling</t>
  </si>
  <si>
    <t>Low Alcohol Wine-White</t>
  </si>
  <si>
    <t xml:space="preserve">Low Alcohol Wine-Red </t>
  </si>
  <si>
    <t>Sacramental-White Wine</t>
  </si>
  <si>
    <t>Sacramental-Red Wine</t>
  </si>
  <si>
    <t>Whiskey - American</t>
  </si>
  <si>
    <t>Whiskey - Bourbon</t>
  </si>
  <si>
    <t>Whiskey - Irish</t>
  </si>
  <si>
    <t>Whisky - Canadian</t>
  </si>
  <si>
    <t>Whisky - Scotch - Blended</t>
  </si>
  <si>
    <t>Brandy</t>
  </si>
  <si>
    <t>Cognac</t>
  </si>
  <si>
    <t>Gin - Flavoured</t>
  </si>
  <si>
    <t>Liqueur</t>
  </si>
  <si>
    <t>Rum - Flavoured</t>
  </si>
  <si>
    <t>Rum - Light</t>
  </si>
  <si>
    <t>Rum -White</t>
  </si>
  <si>
    <t>Tequila - Silver</t>
  </si>
  <si>
    <t>Tequila - White</t>
  </si>
  <si>
    <t>Vodka - Flavoured</t>
  </si>
  <si>
    <t>Vodka - Unflavoured</t>
  </si>
  <si>
    <t>Spirit Cooler</t>
  </si>
  <si>
    <t>Wine Cooler</t>
  </si>
  <si>
    <t>Wine Beverage</t>
  </si>
  <si>
    <t>Cider</t>
  </si>
  <si>
    <t>RTD (Ready to Drink)</t>
  </si>
  <si>
    <t>Import Beer - Cans</t>
  </si>
  <si>
    <t>Import Beer - Bottles</t>
  </si>
  <si>
    <t>Domestic Beer - Cans</t>
  </si>
  <si>
    <t>Domestic Beer - Bottles</t>
  </si>
  <si>
    <t>Merchandise - Wearables</t>
  </si>
  <si>
    <t>Merchandise - Non Wearables</t>
  </si>
  <si>
    <t>Merchandise - Bar Accessories</t>
  </si>
  <si>
    <t>WINES: Grape Variety &amp; Percentages:</t>
  </si>
  <si>
    <t>Address for Sending Purchase Orders:</t>
  </si>
  <si>
    <t>Shelf Life Information:</t>
  </si>
  <si>
    <t>Shelf Life (months):</t>
  </si>
  <si>
    <t>Interpretation of Code:</t>
  </si>
  <si>
    <t>Type of Code:</t>
  </si>
  <si>
    <t>Example of Code:</t>
  </si>
  <si>
    <t>Sales projection (in cases) for this brand in Newfoundland &amp; Labrador:</t>
  </si>
  <si>
    <t>After 6 months:</t>
  </si>
  <si>
    <t>After 12 months:</t>
  </si>
  <si>
    <t>Month</t>
  </si>
  <si>
    <t>Year</t>
  </si>
  <si>
    <t>Title:</t>
  </si>
  <si>
    <t>709-724-2250</t>
  </si>
  <si>
    <t>Please provide a description of the product in the space below (include any tasting notes/product reviews and scores):</t>
  </si>
  <si>
    <t>Signature/Name of Applicant:</t>
  </si>
  <si>
    <t>Date of Application:</t>
  </si>
  <si>
    <t>Category Manager</t>
  </si>
  <si>
    <t xml:space="preserve">Day </t>
  </si>
  <si>
    <t>Additional Product Information:</t>
  </si>
  <si>
    <t>NLC Contact Information:</t>
  </si>
  <si>
    <t># of Selling Units/Case:</t>
  </si>
  <si>
    <t>Bottles per Selling Unit:</t>
  </si>
  <si>
    <t># Cases per Pallet:</t>
  </si>
  <si>
    <t>Cell:</t>
  </si>
  <si>
    <t>Name and Address of Newfoundland Agent:</t>
  </si>
  <si>
    <r>
      <t xml:space="preserve">** If Designation is </t>
    </r>
    <r>
      <rPr>
        <i/>
        <sz val="12"/>
        <rFont val="Arial"/>
        <family val="2"/>
      </rPr>
      <t>Other</t>
    </r>
    <r>
      <rPr>
        <sz val="12"/>
        <rFont val="Arial"/>
        <family val="2"/>
      </rPr>
      <t xml:space="preserve"> Please specify:</t>
    </r>
  </si>
  <si>
    <t>Final Retail:</t>
  </si>
  <si>
    <t>Freight Terms:</t>
  </si>
  <si>
    <t>FCA (Free Carrier)</t>
  </si>
  <si>
    <t>FOB (Free on Board)</t>
  </si>
  <si>
    <t>CIF (Cost, Insurance and Freight)</t>
  </si>
  <si>
    <t>Supplier Quote per Case:</t>
  </si>
  <si>
    <t>DDU (Delivered Duty Unpaid)</t>
  </si>
  <si>
    <t>Shipping Point:</t>
  </si>
  <si>
    <t>Shipping Location:</t>
  </si>
  <si>
    <t>EXW (Ex-Works/Ex-Cellars)</t>
  </si>
  <si>
    <t>Newfoundland Labrador Liquor Corporation</t>
  </si>
  <si>
    <t>Australia-Sth Aus.-Clare Valley</t>
  </si>
  <si>
    <t>Australia-Sth Aus.-Barossa Vall</t>
  </si>
  <si>
    <t>Australia-Sth Aus.-Eden Valley</t>
  </si>
  <si>
    <t>Australia-Sth Aus.-Adelaide Hll</t>
  </si>
  <si>
    <t>Australia-Sth Aus.-Mclaren Vale</t>
  </si>
  <si>
    <t>Australia-Sth Aus.-Currency Crk</t>
  </si>
  <si>
    <t>Australia-Sth Aus.-Padthaway</t>
  </si>
  <si>
    <t>Australia-Sth Aus.-Langhorne Ck</t>
  </si>
  <si>
    <t>Australia-Sth Aus.-Wrattonbully</t>
  </si>
  <si>
    <t>Australia-Sth Aus.-Mt. Benson</t>
  </si>
  <si>
    <t>Australia-Sth Aus.-Coonawarra</t>
  </si>
  <si>
    <t>Australia-Sth Aus.-Riverland</t>
  </si>
  <si>
    <t>Australia-Sth Aus.-Distrt.Blend</t>
  </si>
  <si>
    <t>Australia-Sth Aus.-Kangaroo Isl</t>
  </si>
  <si>
    <t>Australia-Sth Aus.-Limestone Coast</t>
  </si>
  <si>
    <t>Australia-Wst Aus-Margaret Rvr</t>
  </si>
  <si>
    <t>Australia-Wst Aus-Grt. Southern</t>
  </si>
  <si>
    <t>Australia-Wst Aus-District Blend</t>
  </si>
  <si>
    <t>Australia-Wst Aus-SwanDistrict</t>
  </si>
  <si>
    <t>Australia-Sth Wales-Hunter Vly</t>
  </si>
  <si>
    <t>Australia-Sth Wales-Mudgee</t>
  </si>
  <si>
    <t>Australia-Sth Wales-District Blend</t>
  </si>
  <si>
    <t>Australia-Victoria-Yarra Vly</t>
  </si>
  <si>
    <t>Australia-Victoria-Alpine Vlys</t>
  </si>
  <si>
    <t>Australia-Victoria-King Valley</t>
  </si>
  <si>
    <t>Australia-Victoria-District Blend</t>
  </si>
  <si>
    <t>Australia-Victoria-Rutherglen</t>
  </si>
  <si>
    <t>Australia-Victoria-Bendigo</t>
  </si>
  <si>
    <t>Australia-Victoria-Central Vic</t>
  </si>
  <si>
    <t>Australia-Victoria-Beechworth</t>
  </si>
  <si>
    <t>Australia-Victoria-Strathbogie</t>
  </si>
  <si>
    <t>Australia-Victoria-Grampians</t>
  </si>
  <si>
    <t>Australia-Victoria-Geelong</t>
  </si>
  <si>
    <t>Australia-Victoria-Pyrenees</t>
  </si>
  <si>
    <t>Australia-Capital Territory</t>
  </si>
  <si>
    <t>Australia-Northern Territory</t>
  </si>
  <si>
    <t>Australia-Queensland</t>
  </si>
  <si>
    <t>Australia-Region Blend</t>
  </si>
  <si>
    <t>Argentina-Mendoza</t>
  </si>
  <si>
    <t>Argentina-San Juan</t>
  </si>
  <si>
    <t>Argentina-La Rioja</t>
  </si>
  <si>
    <t>Argentina-Rio Negro</t>
  </si>
  <si>
    <t>Argentina-Salta</t>
  </si>
  <si>
    <t>Argentina-Cafayate</t>
  </si>
  <si>
    <t>Argentina-Region Blend</t>
  </si>
  <si>
    <t>Argentina-Other</t>
  </si>
  <si>
    <t>Austria-Burgenland</t>
  </si>
  <si>
    <t>Austria-Niederosterreich</t>
  </si>
  <si>
    <t>Austria-Steiermark</t>
  </si>
  <si>
    <t>Bulgaria</t>
  </si>
  <si>
    <t>Canada-Non-VQA</t>
  </si>
  <si>
    <t>Canada-BC-Vancouver Island</t>
  </si>
  <si>
    <t>Canada-BC-Fraser Valley</t>
  </si>
  <si>
    <t>Canada-BC-Okanagan Valley</t>
  </si>
  <si>
    <t>Canada-BC-Similkameen Valley</t>
  </si>
  <si>
    <t>Canada -Quebec</t>
  </si>
  <si>
    <t>Canada -Nova Scotia</t>
  </si>
  <si>
    <t>Canada -New Brunswick</t>
  </si>
  <si>
    <t>Canada-Newfoundland</t>
  </si>
  <si>
    <t>Canada -Sparkling</t>
  </si>
  <si>
    <t>Canada-Ontario-Pelee Island</t>
  </si>
  <si>
    <t>Canada-Ontario-Niagara-on-Lake</t>
  </si>
  <si>
    <t>Canada-Ontario-Lake Erie North</t>
  </si>
  <si>
    <t>Chile-Maipo Valley</t>
  </si>
  <si>
    <t>Chile-Rapel Valley</t>
  </si>
  <si>
    <t>Chile-Curico Valley</t>
  </si>
  <si>
    <t>Chile-Maule Valley</t>
  </si>
  <si>
    <t>Chile-Itata Valley</t>
  </si>
  <si>
    <t>Chile-Bio Bio Valley</t>
  </si>
  <si>
    <t>Chile-Central Valley Blend</t>
  </si>
  <si>
    <t>Chile-Aconcagua Valley</t>
  </si>
  <si>
    <t>Chile-Casablanca Valley</t>
  </si>
  <si>
    <t>Chile-Other</t>
  </si>
  <si>
    <t>Chile-Region Blend</t>
  </si>
  <si>
    <t>France-Bordeaux-St Julien</t>
  </si>
  <si>
    <t>France-Bordeaux-St.Estephe</t>
  </si>
  <si>
    <t>France-Bordeaux-St.Emilion</t>
  </si>
  <si>
    <t>France-Bordeaux-AOC</t>
  </si>
  <si>
    <t>France-Bordeaux-Cot.de Castill</t>
  </si>
  <si>
    <t>France-Bordeaux-Entre Deux Mers</t>
  </si>
  <si>
    <t>France-Burgundy-Cot.Chalonnais</t>
  </si>
  <si>
    <t>France-Burgundy-GevryChambertn</t>
  </si>
  <si>
    <t>France-Burgundy-RomaneeVougeot</t>
  </si>
  <si>
    <t>France-Burgundy-Cote de Nuits</t>
  </si>
  <si>
    <t>France-Burgundy-Cote de Beaune</t>
  </si>
  <si>
    <t>France-Burgundy-Chablis</t>
  </si>
  <si>
    <t>France-Burgundy-Bourgogne</t>
  </si>
  <si>
    <t>France-Burgundy-Beaujolais</t>
  </si>
  <si>
    <t>France-Burgundy-Other</t>
  </si>
  <si>
    <t>France-Burgundy-Maconnais</t>
  </si>
  <si>
    <t>France-Loire</t>
  </si>
  <si>
    <t>France-Loire-Muscadet</t>
  </si>
  <si>
    <t>France-Loire-Anjou-Saumur</t>
  </si>
  <si>
    <t>France-Loire-Touraine</t>
  </si>
  <si>
    <t>France-Loire-Sancerre/PouillyF</t>
  </si>
  <si>
    <t>France-Rhone</t>
  </si>
  <si>
    <t>France-Rhone-Cote Rotie</t>
  </si>
  <si>
    <t>France-Rhone-Hermitage/Crozes</t>
  </si>
  <si>
    <t>France-Rhone-Cotx du Tricastin</t>
  </si>
  <si>
    <t>France-Rhone-Chat.Neuf-du-Pape</t>
  </si>
  <si>
    <t>France-Rhone-Gigondas</t>
  </si>
  <si>
    <t>France-Rhone-Vacqueyras</t>
  </si>
  <si>
    <t>France-Vin de Pays</t>
  </si>
  <si>
    <t>France-Jura</t>
  </si>
  <si>
    <t>France-Savoie</t>
  </si>
  <si>
    <t>France-Languedoc-Roussillon-</t>
  </si>
  <si>
    <t>France-Lang.Rouss.-Corbieres</t>
  </si>
  <si>
    <t>France-Lang.Rouss.-Minervois</t>
  </si>
  <si>
    <t>France-Corsica</t>
  </si>
  <si>
    <t>France-Provence</t>
  </si>
  <si>
    <t>France-Southwest/Dordogne</t>
  </si>
  <si>
    <t>Germany-Qualit.-Mosel-Saar</t>
  </si>
  <si>
    <t>Germany-Qualitatswein-Rheingau</t>
  </si>
  <si>
    <t>Germany-Qualit.-Rheinhessen</t>
  </si>
  <si>
    <t>Germany-Qualitatswein-Pfalz</t>
  </si>
  <si>
    <t>Germany-Qualitatswein-Nahe</t>
  </si>
  <si>
    <t>Germany-Qualitatswein-Other</t>
  </si>
  <si>
    <t>Germany-Qualit.-Mittelrhein</t>
  </si>
  <si>
    <t>Germany-Qualit-Hessische-Bergs</t>
  </si>
  <si>
    <t>Germany-Qualitatswein-Baden</t>
  </si>
  <si>
    <t>Germany-Qualitatswein-Franken</t>
  </si>
  <si>
    <t>Germany-Qualit.-Wurttemberg</t>
  </si>
  <si>
    <t>Germany-Qualt.-Ahr</t>
  </si>
  <si>
    <t>Germany-Qualt.-Saale-Unstrut</t>
  </si>
  <si>
    <t>Germany-Qualt.-Sachsen</t>
  </si>
  <si>
    <t>Germany -Landwein(VinDePays)</t>
  </si>
  <si>
    <t>Germany -Sekt (Sparkling)</t>
  </si>
  <si>
    <t>Greece-Samos</t>
  </si>
  <si>
    <t>Greece-Peleponnese</t>
  </si>
  <si>
    <t>Greece-Attiki</t>
  </si>
  <si>
    <t>Greece-Retsina</t>
  </si>
  <si>
    <t>Greece-Crete</t>
  </si>
  <si>
    <t>Greece-Paros</t>
  </si>
  <si>
    <t>Hungary</t>
  </si>
  <si>
    <t>Italy-Northwest(Piedmont/Lomb)</t>
  </si>
  <si>
    <t>Italy-Northeast(Veneto/Trent.)</t>
  </si>
  <si>
    <t>Italy-Central West (Tuscany)</t>
  </si>
  <si>
    <t>Italy-Central East (Marchese)</t>
  </si>
  <si>
    <t>Italy-South &amp; Islands</t>
  </si>
  <si>
    <t>Italy-IGT</t>
  </si>
  <si>
    <t>Italy-General(Non-DOCorIGT)</t>
  </si>
  <si>
    <t>Israel</t>
  </si>
  <si>
    <t>Lebanon</t>
  </si>
  <si>
    <t>Mexico</t>
  </si>
  <si>
    <t>Portugal-Vinhos Verdes</t>
  </si>
  <si>
    <t>Portugal-Douro/Oporto</t>
  </si>
  <si>
    <t>Portugal-Beiras (Dao &amp; Bairrada)</t>
  </si>
  <si>
    <t>Portugal-Alentejano</t>
  </si>
  <si>
    <t>Portugal-Ribatejo</t>
  </si>
  <si>
    <t>Portugal-Estremadura</t>
  </si>
  <si>
    <t>Portugal-Carcavelos</t>
  </si>
  <si>
    <t>Portugal-Setubal</t>
  </si>
  <si>
    <t>Portugal-Madeira</t>
  </si>
  <si>
    <t>Portugal-General (Non-DOC)</t>
  </si>
  <si>
    <t>Spain-Rioja</t>
  </si>
  <si>
    <t>Spain-Castilla y Leon</t>
  </si>
  <si>
    <t>Spain-Rueda (y Leon)</t>
  </si>
  <si>
    <t>Spain-Somontano</t>
  </si>
  <si>
    <t>Sapin-Malaga</t>
  </si>
  <si>
    <t>Spain-Priorat/Montsant</t>
  </si>
  <si>
    <t>Spain-Castilla La Mancha</t>
  </si>
  <si>
    <t>Spain-Toro (y Leon)</t>
  </si>
  <si>
    <t>Spain-Carinena</t>
  </si>
  <si>
    <t>Spain-Extremadura</t>
  </si>
  <si>
    <t>Spain -Bierzo</t>
  </si>
  <si>
    <t>Spain-Terra Alta</t>
  </si>
  <si>
    <t>Spain-Jerez (Sherry)</t>
  </si>
  <si>
    <t>Spain-Costers del Segre</t>
  </si>
  <si>
    <t>Spain-Jumilla</t>
  </si>
  <si>
    <t>Spain-Valencia</t>
  </si>
  <si>
    <t>Spain-Penedes and Cava</t>
  </si>
  <si>
    <t>Spain-Navarra</t>
  </si>
  <si>
    <t>Spain-Ribera Del Duero (y Leon)</t>
  </si>
  <si>
    <t>Spain-Rias Baixas</t>
  </si>
  <si>
    <t>Spain -Other or Blends</t>
  </si>
  <si>
    <t>South Africa-Paarl</t>
  </si>
  <si>
    <t>South Africa-Stellenbosch</t>
  </si>
  <si>
    <t>South Africa-Swartland</t>
  </si>
  <si>
    <t>South Africa-Tulbagh</t>
  </si>
  <si>
    <t>South Africa-Tygerberg</t>
  </si>
  <si>
    <t>South Africa-Constantia</t>
  </si>
  <si>
    <t>South Africa-Worcester</t>
  </si>
  <si>
    <t>South Africa-Robertson</t>
  </si>
  <si>
    <t>South Africa-Darling</t>
  </si>
  <si>
    <t>South Africa-Klein Karoo</t>
  </si>
  <si>
    <t>South Africa-Region Blend</t>
  </si>
  <si>
    <t>South Africa-Other</t>
  </si>
  <si>
    <t>Switzerland</t>
  </si>
  <si>
    <t>Thailand</t>
  </si>
  <si>
    <t>USA-California</t>
  </si>
  <si>
    <t>USA -Other</t>
  </si>
  <si>
    <t>USA-California-Central Valley</t>
  </si>
  <si>
    <t>USA-California-San Francisco B</t>
  </si>
  <si>
    <t>USA-California-Sierra Foothill</t>
  </si>
  <si>
    <t>USA-California-South Coast</t>
  </si>
  <si>
    <t>USA-California-Los Carneros</t>
  </si>
  <si>
    <t>USA-California-North Coast</t>
  </si>
  <si>
    <t>USA-Californai-Central Coast</t>
  </si>
  <si>
    <t>USA-California-Mendocino</t>
  </si>
  <si>
    <t>USA-California-Sonoma County</t>
  </si>
  <si>
    <t>USA-California-Napa County</t>
  </si>
  <si>
    <t>USA -New York</t>
  </si>
  <si>
    <t>USA -Washington</t>
  </si>
  <si>
    <t>USA -Oregon</t>
  </si>
  <si>
    <t>Uruguay</t>
  </si>
  <si>
    <t>New Zealand N. Isl-Hawkes Bay</t>
  </si>
  <si>
    <t>New Zealand N. Isl-Northland</t>
  </si>
  <si>
    <t>New Zealand N. Isl-Auckland</t>
  </si>
  <si>
    <t>New Zealand N. Isl-Waikato</t>
  </si>
  <si>
    <t>New Zealand N. Isl-Bay o Plenty</t>
  </si>
  <si>
    <t>New Zealand N. Isl-Gisborne</t>
  </si>
  <si>
    <t>New Zealand N. Isl-Wellington</t>
  </si>
  <si>
    <t>New Zealand S. Isl-Nelson</t>
  </si>
  <si>
    <t>New Zealand S. Isl-Marlborough</t>
  </si>
  <si>
    <t>New Zealand S. Isl-Canterbury</t>
  </si>
  <si>
    <t>New Zealand S. Isl-Otago</t>
  </si>
  <si>
    <t>New Zealand-Region Blend</t>
  </si>
  <si>
    <t>Organic - Certified</t>
  </si>
  <si>
    <t>Organic - Organically Grown Grapes</t>
  </si>
  <si>
    <t>Organic - Biodynamic</t>
  </si>
  <si>
    <t>** For Organic definition please see tab #2.</t>
  </si>
  <si>
    <t>Australian Dollar</t>
  </si>
  <si>
    <t>Canadian Dollar</t>
  </si>
  <si>
    <t>Euro</t>
  </si>
  <si>
    <t>Pound</t>
  </si>
  <si>
    <t>US Dollar</t>
  </si>
  <si>
    <t>NZ Dollar</t>
  </si>
  <si>
    <t>South African Rand</t>
  </si>
  <si>
    <t>Switzerland Franc</t>
  </si>
  <si>
    <t>Newfoundland - Griquet</t>
  </si>
  <si>
    <t>Nova Scotia</t>
  </si>
  <si>
    <t>New Brunswick</t>
  </si>
  <si>
    <t>Ontario</t>
  </si>
  <si>
    <t>Ontario - Winsor</t>
  </si>
  <si>
    <t>Ontario - Amherstburg</t>
  </si>
  <si>
    <t>Quebec</t>
  </si>
  <si>
    <t>Quebec - Primavin Inc.</t>
  </si>
  <si>
    <t>Alberta</t>
  </si>
  <si>
    <t>British Columbia</t>
  </si>
  <si>
    <t>Argentina</t>
  </si>
  <si>
    <t>Australia</t>
  </si>
  <si>
    <t>Austria</t>
  </si>
  <si>
    <t>Belgium</t>
  </si>
  <si>
    <t>Chile</t>
  </si>
  <si>
    <t>Finland</t>
  </si>
  <si>
    <t>France</t>
  </si>
  <si>
    <t>Germany</t>
  </si>
  <si>
    <t>Greece</t>
  </si>
  <si>
    <t>Holland</t>
  </si>
  <si>
    <t>Ireland</t>
  </si>
  <si>
    <t>Italy</t>
  </si>
  <si>
    <t>Jamaica</t>
  </si>
  <si>
    <t>Manitoba ( Smith &amp; Doyle )</t>
  </si>
  <si>
    <t>New Zealand</t>
  </si>
  <si>
    <t>Portugal</t>
  </si>
  <si>
    <t>South Africa</t>
  </si>
  <si>
    <t>Spain</t>
  </si>
  <si>
    <t>Sweden - OY</t>
  </si>
  <si>
    <t>Sweden - ABS</t>
  </si>
  <si>
    <t>Trinidad - Tobago</t>
  </si>
  <si>
    <t>United Kingdom</t>
  </si>
  <si>
    <t>USA - Arkansas</t>
  </si>
  <si>
    <t>USA - California</t>
  </si>
  <si>
    <t>USA - Illinois</t>
  </si>
  <si>
    <t>USA - Kentucky</t>
  </si>
  <si>
    <t>USA - Maryland</t>
  </si>
  <si>
    <t>USA - Minnesota</t>
  </si>
  <si>
    <t>USA - Missouri</t>
  </si>
  <si>
    <t>USA - New Jersey</t>
  </si>
  <si>
    <t>USA - New York</t>
  </si>
  <si>
    <t>USA - Tennessee</t>
  </si>
  <si>
    <t>Accessories</t>
  </si>
  <si>
    <t>Wine</t>
  </si>
  <si>
    <t>Ready To Drink</t>
  </si>
  <si>
    <t>Code</t>
  </si>
  <si>
    <t>Dollar</t>
  </si>
  <si>
    <t>Percentage</t>
  </si>
  <si>
    <t>Cost of Service</t>
  </si>
  <si>
    <t>Size</t>
  </si>
  <si>
    <t>Fixed Rate Mark-up per Litre</t>
  </si>
  <si>
    <t>Agent Commision Beer</t>
  </si>
  <si>
    <t>Minimum Retail By Policy</t>
  </si>
  <si>
    <t>Code -389-Rodriques-750ml - 21.95 Retail</t>
  </si>
  <si>
    <t>Code -390-Auk-375ml - 13.83 Retail - Based on Vendor Submission</t>
  </si>
  <si>
    <t>Code -391-Auk-375ml - 17.83 Retail- Based on Vendor Submission</t>
  </si>
  <si>
    <t>Code -392-Auk-750ml - 13.47 Retail- Based on Vendor Submission</t>
  </si>
  <si>
    <t>Code -398-Auk-750ml - 13.87 Retail- Based on Vendor Submission</t>
  </si>
  <si>
    <t>Code -393-Rodriques-375ml - 16.99 Retail - Based on Vendor Submission</t>
  </si>
  <si>
    <t>Code -394-Rodriques-375ml - 12.99 Retail - Based on Vendor Submission</t>
  </si>
  <si>
    <t>Code -395-Rodriques-750ml - 12.99 Retail - Based on Vendor Submission</t>
  </si>
  <si>
    <t>Code -399-Rodriques-650ml - 12.99 Retail - Based on Vendor Submission</t>
  </si>
  <si>
    <t>Code -396-SAP-375ml - 19.98 Retail - Based on Vendor Submission</t>
  </si>
  <si>
    <t>Code -397-Rodriques-750ml - 24.99 Retail</t>
  </si>
  <si>
    <t>Code -XXX-Ciders-1364ml - low-alc</t>
  </si>
  <si>
    <t>Code -XXX-Ciders-2064ml - low-alc</t>
  </si>
  <si>
    <t>Code -575-Quidi Vidi - 6x341-2046ml - Retail 13.24</t>
  </si>
  <si>
    <t>Code -576-QV - 6x341-2046ml - Retail 12.50</t>
  </si>
  <si>
    <t>Code -577-Storm - 6x341-2046ml - Retail 13.75</t>
  </si>
  <si>
    <t>Code -578-Quidi Vidi - 4x341-1364ml - Retail 12.60</t>
  </si>
  <si>
    <t>Code -580-Microbreweries - Big - 6x341-2046ml</t>
  </si>
  <si>
    <t>Code -581-Quidi Vidi - 6x341-2046ml - Retail 17.99</t>
  </si>
  <si>
    <t>Code -585-Quidi Vidi - 12x341-4092ml - Retail 24.15</t>
  </si>
  <si>
    <t>Code -586-QV - 12x341-4092ml - Retail 22.75</t>
  </si>
  <si>
    <t>Code -590-Microbreweries - Big - 12x341-4092ml</t>
  </si>
  <si>
    <t>Code -595-Storm - Singles-650ml - Retail 4.60</t>
  </si>
  <si>
    <t>Code -600-Quidi Vidi - 2 Pk-682ml - Retail 6.49</t>
  </si>
  <si>
    <t>Code -601-Yellow Belly - Singles-1000ml - Retail 8.95</t>
  </si>
  <si>
    <t>Code -602-Yellow Belly - Singles-1000ml - Retail 12.50</t>
  </si>
  <si>
    <t>Code -XXX-Yellow Belly - Growler-1800ml - Retail 21.06</t>
  </si>
  <si>
    <t>Code -605-Storm - Wooden Killick-650ml</t>
  </si>
  <si>
    <t>Category</t>
  </si>
  <si>
    <t>Excise Duty</t>
  </si>
  <si>
    <t>Excise LPA</t>
  </si>
  <si>
    <t>Customs Duty Effective Jan 1, 2010</t>
  </si>
  <si>
    <t>Customs LPA</t>
  </si>
  <si>
    <t>Code 165 - Non-Alc. Wine &amp; Sparkling</t>
  </si>
  <si>
    <t>Code 165 - MFN - Non-Alc. Wine &amp; Sparkling</t>
  </si>
  <si>
    <t>Code 165 - UST - Non-Alc. Wine &amp; Sparkling</t>
  </si>
  <si>
    <t>L</t>
  </si>
  <si>
    <t>V</t>
  </si>
  <si>
    <t>Miniature</t>
  </si>
  <si>
    <t>Bottle</t>
  </si>
  <si>
    <t>Can</t>
  </si>
  <si>
    <t>Tetra pack</t>
  </si>
  <si>
    <t>Bag</t>
  </si>
  <si>
    <t>Keg</t>
  </si>
  <si>
    <t>Yellow Belly</t>
  </si>
  <si>
    <t>General</t>
  </si>
  <si>
    <t>Winefest East</t>
  </si>
  <si>
    <t>Gift Package</t>
  </si>
  <si>
    <t>Supplier cost</t>
  </si>
  <si>
    <t>FX rate</t>
  </si>
  <si>
    <t>Supplier cost in CAD</t>
  </si>
  <si>
    <t>Customs Tariff</t>
  </si>
  <si>
    <t>Tariff Code</t>
  </si>
  <si>
    <t>MFN</t>
  </si>
  <si>
    <t>AUS</t>
  </si>
  <si>
    <t>CHL</t>
  </si>
  <si>
    <t>UST</t>
  </si>
  <si>
    <t>Excise</t>
  </si>
  <si>
    <t>Freight</t>
  </si>
  <si>
    <t>Landed Cost per case</t>
  </si>
  <si>
    <t>Landed Cost per unit</t>
  </si>
  <si>
    <t>Fixed Markup</t>
  </si>
  <si>
    <t>Wine750</t>
  </si>
  <si>
    <t>Variable markup</t>
  </si>
  <si>
    <t>Base Retail</t>
  </si>
  <si>
    <t>HST</t>
  </si>
  <si>
    <t>Bottle deposit</t>
  </si>
  <si>
    <t>Final Retail</t>
  </si>
  <si>
    <t>Canada</t>
  </si>
  <si>
    <t>CDN</t>
  </si>
  <si>
    <t>USA</t>
  </si>
  <si>
    <t>Country</t>
  </si>
  <si>
    <t>City:</t>
  </si>
  <si>
    <t>LiqueurCDN</t>
  </si>
  <si>
    <t>LiqueurMFN</t>
  </si>
  <si>
    <t>LiqueurUST</t>
  </si>
  <si>
    <t>Product Class:</t>
  </si>
  <si>
    <t>Rum</t>
  </si>
  <si>
    <t>Whisky</t>
  </si>
  <si>
    <t>Vodka</t>
  </si>
  <si>
    <t>Gin</t>
  </si>
  <si>
    <t>Tequila</t>
  </si>
  <si>
    <t>Red Wine</t>
  </si>
  <si>
    <t>White Wine</t>
  </si>
  <si>
    <t>White Wine - Low Alcohol</t>
  </si>
  <si>
    <t>Imported Cider</t>
  </si>
  <si>
    <t>Allocation</t>
  </si>
  <si>
    <t>Beerfest</t>
  </si>
  <si>
    <t>Bordeaux</t>
  </si>
  <si>
    <t>One Time Offer</t>
  </si>
  <si>
    <t>Is Product Customs Duty Paid</t>
  </si>
  <si>
    <t>Is Product Excise Duty Paid</t>
  </si>
  <si>
    <t>Spirit</t>
  </si>
  <si>
    <t>Beer</t>
  </si>
  <si>
    <t>Imported Low Alcohol Beer</t>
  </si>
  <si>
    <t>WhiskyMFN</t>
  </si>
  <si>
    <t>WhiskyUST</t>
  </si>
  <si>
    <t>WhiskyCDN</t>
  </si>
  <si>
    <t>RumCDN</t>
  </si>
  <si>
    <t>RumMFN</t>
  </si>
  <si>
    <t>RumUST</t>
  </si>
  <si>
    <t>GinCDN</t>
  </si>
  <si>
    <t>GinMFN</t>
  </si>
  <si>
    <t>GinUST</t>
  </si>
  <si>
    <t>VodkaCDN</t>
  </si>
  <si>
    <t>VodkaMFN</t>
  </si>
  <si>
    <t>VodkaUST</t>
  </si>
  <si>
    <t>TequilaCDN</t>
  </si>
  <si>
    <t>TequilaMFN</t>
  </si>
  <si>
    <t>TequilaUST</t>
  </si>
  <si>
    <t>Other Alcoholic Beverage</t>
  </si>
  <si>
    <t>Other Alcoholic BeverageCDN</t>
  </si>
  <si>
    <t>Other Alcoholic BeverageMFN</t>
  </si>
  <si>
    <t>Other Alcoholic BeverageUST</t>
  </si>
  <si>
    <t>BrandyCDN</t>
  </si>
  <si>
    <t>BrandyMFN</t>
  </si>
  <si>
    <t>BrandyUST</t>
  </si>
  <si>
    <t>Sparkling Cider</t>
  </si>
  <si>
    <t>Sparkling Perry</t>
  </si>
  <si>
    <t>CiderCDN</t>
  </si>
  <si>
    <t>CiderUST</t>
  </si>
  <si>
    <t>Vermouth, Etc.</t>
  </si>
  <si>
    <t>Vermouth, Etc.CDN</t>
  </si>
  <si>
    <t>Vermouth, Etc.MFN</t>
  </si>
  <si>
    <t>Vermouth, Etc.UST</t>
  </si>
  <si>
    <t>Sparkling CiderCDN</t>
  </si>
  <si>
    <t>Sparkling CiderMFN</t>
  </si>
  <si>
    <t>Sparkling CiderUST</t>
  </si>
  <si>
    <t>Sparkling PerryCDN</t>
  </si>
  <si>
    <t>Sparkling PerryMFN</t>
  </si>
  <si>
    <t>Sparkling PerryUST</t>
  </si>
  <si>
    <t>Ready To DrinkCDN</t>
  </si>
  <si>
    <t>Ready To DrinkMFN</t>
  </si>
  <si>
    <t>Ready To DrinkUST</t>
  </si>
  <si>
    <t>Sake</t>
  </si>
  <si>
    <t>SakeCDN</t>
  </si>
  <si>
    <t>SakeMFN</t>
  </si>
  <si>
    <t>SakeUST</t>
  </si>
  <si>
    <t>Sparkling Wine&gt;7.0%</t>
  </si>
  <si>
    <t>Sparkling Wine&lt;=7.0%</t>
  </si>
  <si>
    <t>Wine1000</t>
  </si>
  <si>
    <t>Wine1140</t>
  </si>
  <si>
    <t>Wine1500</t>
  </si>
  <si>
    <t>Wine2000</t>
  </si>
  <si>
    <t>Wine2250</t>
  </si>
  <si>
    <t>Wine3000</t>
  </si>
  <si>
    <t>Wine4000</t>
  </si>
  <si>
    <t>Wine4500</t>
  </si>
  <si>
    <t>Wine5000</t>
  </si>
  <si>
    <t>Wine6000</t>
  </si>
  <si>
    <t>Wine6750</t>
  </si>
  <si>
    <t>Wine9000</t>
  </si>
  <si>
    <t>Wine16000</t>
  </si>
  <si>
    <t>Wine18000</t>
  </si>
  <si>
    <t>Wine20000</t>
  </si>
  <si>
    <t>Wine748</t>
  </si>
  <si>
    <t>Wines50</t>
  </si>
  <si>
    <t>Wine187</t>
  </si>
  <si>
    <t>Wine200</t>
  </si>
  <si>
    <t>Wine250</t>
  </si>
  <si>
    <t>Wine300</t>
  </si>
  <si>
    <t>Wine375</t>
  </si>
  <si>
    <t>Wine500</t>
  </si>
  <si>
    <t>Wine600</t>
  </si>
  <si>
    <t>Wine650</t>
  </si>
  <si>
    <t>Wine700</t>
  </si>
  <si>
    <t>Wine720</t>
  </si>
  <si>
    <t>Spirit100</t>
  </si>
  <si>
    <t>Spirit120</t>
  </si>
  <si>
    <t>Spirit200</t>
  </si>
  <si>
    <t>Spirit250</t>
  </si>
  <si>
    <t>Spirit300</t>
  </si>
  <si>
    <t>Spirit375</t>
  </si>
  <si>
    <t>Spirit400</t>
  </si>
  <si>
    <t>Spirit500</t>
  </si>
  <si>
    <t>Spirit600</t>
  </si>
  <si>
    <t>Spirit700</t>
  </si>
  <si>
    <t>Spirit750</t>
  </si>
  <si>
    <t>Spirit800</t>
  </si>
  <si>
    <t>Spirit1140</t>
  </si>
  <si>
    <t>Spirit1750</t>
  </si>
  <si>
    <t>Spirit3000</t>
  </si>
  <si>
    <t>Ready To Drink180</t>
  </si>
  <si>
    <t>Ready To Drink200</t>
  </si>
  <si>
    <t>Ready To Drink270</t>
  </si>
  <si>
    <t>Ready To Drink275</t>
  </si>
  <si>
    <t>Ready To Drink300</t>
  </si>
  <si>
    <t>Ready To Drink330</t>
  </si>
  <si>
    <t>Ready To Drink341</t>
  </si>
  <si>
    <t>Ready To Drink355</t>
  </si>
  <si>
    <t>Ready To Drink375</t>
  </si>
  <si>
    <t>Ready To Drink400</t>
  </si>
  <si>
    <t>Ready To Drink440</t>
  </si>
  <si>
    <t>Ready To Drink473</t>
  </si>
  <si>
    <t>Ready To Drink500</t>
  </si>
  <si>
    <t>Ready To Drink750</t>
  </si>
  <si>
    <t>Ready To Drink900</t>
  </si>
  <si>
    <t>Ready To Drink1000</t>
  </si>
  <si>
    <t>Ready To Drink1100</t>
  </si>
  <si>
    <t>Ready To Drink1140</t>
  </si>
  <si>
    <t>Ready To Drink1200</t>
  </si>
  <si>
    <t>Ready To Drink1320</t>
  </si>
  <si>
    <t>Ready To Drink1332</t>
  </si>
  <si>
    <t>Ready To Drink1360</t>
  </si>
  <si>
    <t>Ready To Drink1364</t>
  </si>
  <si>
    <t>Ready To Drink1420</t>
  </si>
  <si>
    <t>Ready To Drink1500</t>
  </si>
  <si>
    <t>Ready To Drink1600</t>
  </si>
  <si>
    <t>Ready To Drink1750</t>
  </si>
  <si>
    <t>Ready To Drink1892</t>
  </si>
  <si>
    <t>Ready To Drink1980</t>
  </si>
  <si>
    <t>Ready To Drink2000</t>
  </si>
  <si>
    <t>Ready To Drink2046</t>
  </si>
  <si>
    <t>Ready To Drink2130</t>
  </si>
  <si>
    <t>Ready To Drink3960</t>
  </si>
  <si>
    <t>Ready To Drink4092</t>
  </si>
  <si>
    <t>Ready To Drink4260</t>
  </si>
  <si>
    <t>Ready To Drink7920</t>
  </si>
  <si>
    <t>Spirit20</t>
  </si>
  <si>
    <t>Spirit30</t>
  </si>
  <si>
    <t>Spirit40</t>
  </si>
  <si>
    <t>Spirit50</t>
  </si>
  <si>
    <t>Spirit60</t>
  </si>
  <si>
    <t>St. John's</t>
  </si>
  <si>
    <t>USA - Ohio</t>
  </si>
  <si>
    <t>Beer Brewery Distributed</t>
  </si>
  <si>
    <t>Beer NLC Distributed</t>
  </si>
  <si>
    <t>Beer NLC Distributed Low Alcohol Beer</t>
  </si>
  <si>
    <t>Beer NLC Distributed330</t>
  </si>
  <si>
    <t>Beer NLC Distributed355</t>
  </si>
  <si>
    <t>Beer NLC Distributed375</t>
  </si>
  <si>
    <t>Beer NLC Distributed440</t>
  </si>
  <si>
    <t>Beer NLC Distributed473</t>
  </si>
  <si>
    <t>Beer NLC Distributed500</t>
  </si>
  <si>
    <t>Beer NLC Distributed650</t>
  </si>
  <si>
    <t>Beer NLC Distributed710</t>
  </si>
  <si>
    <t>Beer NLC Distributed750</t>
  </si>
  <si>
    <t>Beer NLC Distributed880</t>
  </si>
  <si>
    <t>Beer NLC Distributed990</t>
  </si>
  <si>
    <t>Beer NLC Distributed1000</t>
  </si>
  <si>
    <t>Beer NLC Distributed1110</t>
  </si>
  <si>
    <t>Beer NLC Distributed1180</t>
  </si>
  <si>
    <t>Beer NLC Distributed1320</t>
  </si>
  <si>
    <t>Beer NLC Distributed1420</t>
  </si>
  <si>
    <t>Beer NLC Distributed1500</t>
  </si>
  <si>
    <t>Beer NLC Distributed1760</t>
  </si>
  <si>
    <t>Beer NLC Distributed1892</t>
  </si>
  <si>
    <t>Beer NLC Distributed1980</t>
  </si>
  <si>
    <t>Beer NLC Distributed2000</t>
  </si>
  <si>
    <t>Beer NLC Distributed2130</t>
  </si>
  <si>
    <t>Beer NLC Distributed2046</t>
  </si>
  <si>
    <t>Beer NLC Distributed2728</t>
  </si>
  <si>
    <t>Beer NLC Distributed2838</t>
  </si>
  <si>
    <t>Beer NLC Distributed3300</t>
  </si>
  <si>
    <t>Beer NLC Distributed3520</t>
  </si>
  <si>
    <t>Beer NLC Distributed4092</t>
  </si>
  <si>
    <t>Beer NLC Distributed4260</t>
  </si>
  <si>
    <t>Beer NLC Distributed5000</t>
  </si>
  <si>
    <t>Beer NLC Distributed Low Alcohol Beer1000</t>
  </si>
  <si>
    <t>Beer NLC Distributed Low Alcohol Beer1320</t>
  </si>
  <si>
    <t>Beer NLC Distributed Low Alcohol Beer2130</t>
  </si>
  <si>
    <t>Beer NLC Distributed Low Alcohol Beer4260</t>
  </si>
  <si>
    <t>Beer NLC DistributedCDN</t>
  </si>
  <si>
    <t>Beer NLC DistributedMFN</t>
  </si>
  <si>
    <t>Beer NLC DistributedUST</t>
  </si>
  <si>
    <t>Wine&gt;7%&lt;=13.7%MFN</t>
  </si>
  <si>
    <t>Wine&gt;7%&lt;=13.7%CDN</t>
  </si>
  <si>
    <t>Wine&gt;7%&lt;=13.7%UST</t>
  </si>
  <si>
    <t>Wine&gt;7%&lt;=13.7%CHL</t>
  </si>
  <si>
    <t>Wine&gt;13.7%&lt;=14.9%CDN</t>
  </si>
  <si>
    <t>Wine&gt;13.7%&lt;=14.9%MFN</t>
  </si>
  <si>
    <t>Wine&gt;13.7%&lt;=14.9%UST</t>
  </si>
  <si>
    <t>Wine&gt;14.9%&lt;=22.9%CDN</t>
  </si>
  <si>
    <t>Wine&gt;14.9%&lt;=22.9%MFN</t>
  </si>
  <si>
    <t>Wine&gt;14.9%&lt;=22.9%UST</t>
  </si>
  <si>
    <t>Wine&gt;22.9%CDN</t>
  </si>
  <si>
    <t>Wine&gt;22.9%MFN</t>
  </si>
  <si>
    <t>Wine&gt;22.9%UST</t>
  </si>
  <si>
    <t>Low Alcohol</t>
  </si>
  <si>
    <t>Low Alcohol - Wine &amp; SparklingCDN</t>
  </si>
  <si>
    <t>Please Note: Retail Calculation to be confirmed by NLC</t>
  </si>
  <si>
    <t>WineLow Alcohol - Wine &amp; SparklingMFN</t>
  </si>
  <si>
    <t>WineLow Alcohol - Wine &amp; SparklingUST</t>
  </si>
  <si>
    <t>Beer NLC Distributed Low Alcohol BeerCDN</t>
  </si>
  <si>
    <t>Beer NLC Distributed Low Alcohol Beer2046</t>
  </si>
  <si>
    <t>Floor Price</t>
  </si>
  <si>
    <t>Sparkling Wine</t>
  </si>
  <si>
    <t>Imported Beer</t>
  </si>
  <si>
    <t>Below Floor Pricing</t>
  </si>
  <si>
    <t>Location of Code:</t>
  </si>
  <si>
    <t>Beer NLC Distributed944</t>
  </si>
  <si>
    <t>Spirit150</t>
  </si>
  <si>
    <t>Beer NLC Distributed1300</t>
  </si>
  <si>
    <t>Spirit1000</t>
  </si>
  <si>
    <t>The Netherlands</t>
  </si>
  <si>
    <t>Imported CiderMFN</t>
  </si>
  <si>
    <t>Sparkling Wine187</t>
  </si>
  <si>
    <t>Sparkling Wine50</t>
  </si>
  <si>
    <t>Sparkling Wine200</t>
  </si>
  <si>
    <t>Sparkling Wine250</t>
  </si>
  <si>
    <t>Sparkling Wine300</t>
  </si>
  <si>
    <t>Sparkling Wine375</t>
  </si>
  <si>
    <t>Sparkling Wine500</t>
  </si>
  <si>
    <t>Sparkling Wine600</t>
  </si>
  <si>
    <t>Sparkling Wine650</t>
  </si>
  <si>
    <t>Sparkling Wine700</t>
  </si>
  <si>
    <t>Sparkling Wine720</t>
  </si>
  <si>
    <t>Sparkling Wine748</t>
  </si>
  <si>
    <t>Sparkling Wine750</t>
  </si>
  <si>
    <t>Sparkling Wine1000</t>
  </si>
  <si>
    <t>Sparkling Wine1140</t>
  </si>
  <si>
    <t>Sparkling Wine1500</t>
  </si>
  <si>
    <t>Sparkling Wine2000</t>
  </si>
  <si>
    <t>Sparkling Wine2250</t>
  </si>
  <si>
    <t>Sparkling Wine3000</t>
  </si>
  <si>
    <t>Sparkling Wine4000</t>
  </si>
  <si>
    <t>Sparkling Wine4500</t>
  </si>
  <si>
    <t>Sparkling Wine5000</t>
  </si>
  <si>
    <t>Sparkling Wine6000</t>
  </si>
  <si>
    <t>Sparkling Wine6750</t>
  </si>
  <si>
    <t>Sparkling Wine9000</t>
  </si>
  <si>
    <t>Sparkling Wine16000</t>
  </si>
  <si>
    <t>Sparking Wine18000</t>
  </si>
  <si>
    <t>Sparkling Wine20000</t>
  </si>
  <si>
    <t>Sparkling Wine&lt;=7%MFN</t>
  </si>
  <si>
    <t>Sparkling Wine&lt;=7%CDN</t>
  </si>
  <si>
    <t>Sparkling Wine&lt;=7%UST</t>
  </si>
  <si>
    <t>Sparkling Wine&gt;7%&lt;=13.7%MFN</t>
  </si>
  <si>
    <t>Sparkling Wine&gt;7%&lt;=13.7%UST</t>
  </si>
  <si>
    <t>Sparkling Wine&gt;7%&lt;=13.7%CDN</t>
  </si>
  <si>
    <t>Product Type:</t>
  </si>
  <si>
    <t>Pre Sell</t>
  </si>
  <si>
    <t>Beer NLC Distributed3784</t>
  </si>
  <si>
    <t>Wine&gt;13.7%&lt;=14.9%CHL</t>
  </si>
  <si>
    <t>Wine&gt;14.9%&lt;=22.9%CHL</t>
  </si>
  <si>
    <t>Wine&lt;=7%CDN</t>
  </si>
  <si>
    <t>Wine&lt;=7%CHL</t>
  </si>
  <si>
    <t>Wine&lt;=7%MFN</t>
  </si>
  <si>
    <t>Wine&lt;=7%UST</t>
  </si>
  <si>
    <t>Cider500</t>
  </si>
  <si>
    <t>Cider473</t>
  </si>
  <si>
    <t>Cider375</t>
  </si>
  <si>
    <t>Cider355</t>
  </si>
  <si>
    <t>Cider341</t>
  </si>
  <si>
    <t>Cider50</t>
  </si>
  <si>
    <t>Cider568</t>
  </si>
  <si>
    <t>Cider1100</t>
  </si>
  <si>
    <t>Cider1320</t>
  </si>
  <si>
    <t>Cider1364</t>
  </si>
  <si>
    <t>Cider1980</t>
  </si>
  <si>
    <t>Cider2130</t>
  </si>
  <si>
    <t>Cider3520</t>
  </si>
  <si>
    <t>CiderMFN</t>
  </si>
  <si>
    <t>Ready To Drink3000</t>
  </si>
  <si>
    <t>Ready To Drink3550</t>
  </si>
  <si>
    <t>Cider330</t>
  </si>
  <si>
    <t>Denmark</t>
  </si>
  <si>
    <t>Cells highted with this colour contains dropdown list</t>
  </si>
  <si>
    <t>Beer NLC Distributed3000</t>
  </si>
  <si>
    <t>Cider1420</t>
  </si>
  <si>
    <t>Cider2046</t>
  </si>
  <si>
    <t>Cider440</t>
  </si>
  <si>
    <t>Cider1760</t>
  </si>
  <si>
    <t>Cider2640</t>
  </si>
  <si>
    <t>Cider2838</t>
  </si>
  <si>
    <t>Ready To Drink458</t>
  </si>
  <si>
    <t>Ready To Drink&lt;=7%CDN</t>
  </si>
  <si>
    <t>Ready To Drink&lt;=7%MFN</t>
  </si>
  <si>
    <t>Ready To Drink&lt;=7%UST</t>
  </si>
  <si>
    <t>Ready To Drink&gt;7%&lt;=13.7%CDN</t>
  </si>
  <si>
    <t>Ready To Drink&gt;7%&lt;=13.7%MFN</t>
  </si>
  <si>
    <t>Ready To Drink&gt;7%&lt;=13.7%UST</t>
  </si>
  <si>
    <t>Beer NLC Distributed1100</t>
  </si>
  <si>
    <t>Sparkling Wine&gt;7%&lt;=13.7%CHL</t>
  </si>
  <si>
    <t>Sparkling Wine&lt;=7%CHL</t>
  </si>
  <si>
    <t>Wine5250</t>
  </si>
  <si>
    <t>Spirit360</t>
  </si>
  <si>
    <t>Beer NLC Distributed2840</t>
  </si>
  <si>
    <t>Beer NLC Distributed660</t>
  </si>
  <si>
    <t>Austria - FOB -  Belgium</t>
  </si>
  <si>
    <t>Poland</t>
  </si>
  <si>
    <t>Rock Spirits</t>
  </si>
  <si>
    <t>Germany - FOB - Belgium</t>
  </si>
  <si>
    <t>Holland - FOB - Belguim</t>
  </si>
  <si>
    <t>Hungary - FOB - Belguim</t>
  </si>
  <si>
    <t>Ready To Drink700</t>
  </si>
  <si>
    <t>Cider4000</t>
  </si>
  <si>
    <t>Beer NLC Distributed1364</t>
  </si>
  <si>
    <t>Beer NLC Distributed3960</t>
  </si>
  <si>
    <t>Ready To Drink2832</t>
  </si>
  <si>
    <t>Beer NLC Distributed2076</t>
  </si>
  <si>
    <t>Whisky - Rich &amp; Rounded</t>
  </si>
  <si>
    <t>Whisky - Full Bodied &amp; Smokey</t>
  </si>
  <si>
    <t>Whisky - Fruity &amp; Spicy</t>
  </si>
  <si>
    <t>Whisky - Light &amp; Floral</t>
  </si>
  <si>
    <t>Spirit900</t>
  </si>
  <si>
    <t>Date:</t>
  </si>
  <si>
    <t>Brazil</t>
  </si>
  <si>
    <t>Beer NLC Distributed550</t>
  </si>
  <si>
    <t>Beer NLC Distributed7920</t>
  </si>
  <si>
    <t>Beer NLC Distributed341</t>
  </si>
  <si>
    <t>Beer NLC Distributed2640</t>
  </si>
  <si>
    <t>Ready To Drink250</t>
  </si>
  <si>
    <t>Ready To Drink1776</t>
  </si>
  <si>
    <t>Beer NLC Distributed8520</t>
  </si>
  <si>
    <t>Imported CiderUST</t>
  </si>
  <si>
    <t>Cider4260</t>
  </si>
  <si>
    <t>Beer NLC Distributed946</t>
  </si>
  <si>
    <t>Beer NLC Distributed3760</t>
  </si>
  <si>
    <t>Japan</t>
  </si>
  <si>
    <t>Beer NLC Distributed4000</t>
  </si>
  <si>
    <t>Keg - No Deposit</t>
  </si>
  <si>
    <t>Organic - Organically Grow Grapes</t>
  </si>
  <si>
    <t>Domestic - Produced in NL</t>
  </si>
  <si>
    <t>Domestic Import - Produced in Canada not in NL</t>
  </si>
  <si>
    <t>Import</t>
  </si>
  <si>
    <t>Ready To Drink20000</t>
  </si>
  <si>
    <t>Ready To Drink30000</t>
  </si>
  <si>
    <t>Ready To Drink50000</t>
  </si>
  <si>
    <t>Beer NLC Distributed30000</t>
  </si>
  <si>
    <t>Beer NLC Distributed50000</t>
  </si>
  <si>
    <t>Ready To Drink1080</t>
  </si>
  <si>
    <t>Beer NLC Distributed1950</t>
  </si>
  <si>
    <t>Beer NLC Distributed2400</t>
  </si>
  <si>
    <t>Beer NLC Distributed5676</t>
  </si>
  <si>
    <t>Beer NLC Distributed3550</t>
  </si>
  <si>
    <t>Ready To Drink296</t>
  </si>
  <si>
    <t>Beer NLC Distributed765</t>
  </si>
  <si>
    <t>Beer NLC Distributed250</t>
  </si>
  <si>
    <t>Beer NLC Distributed2100</t>
  </si>
  <si>
    <t>Beer NLC Distributed600</t>
  </si>
  <si>
    <t>Ready To Drink8184</t>
  </si>
  <si>
    <t>Molson/Labatt Beer Bottle</t>
  </si>
  <si>
    <t>Beer Bottle</t>
  </si>
  <si>
    <t>Beer Can</t>
  </si>
  <si>
    <t>Beer Molson/Labatt Distributed250</t>
  </si>
  <si>
    <t>Beer Molson/Labatt Distributed330</t>
  </si>
  <si>
    <t>Beer Molson/Labatt Distributed355</t>
  </si>
  <si>
    <t>Beer Molson/Labatt Distributed375</t>
  </si>
  <si>
    <t>Beer Molson/Labatt Distributed440</t>
  </si>
  <si>
    <t>Beer Molson/Labatt Distributed473</t>
  </si>
  <si>
    <t>Beer Molson/Labatt Distributed500</t>
  </si>
  <si>
    <t>Beer Molson/Labatt Distributed625</t>
  </si>
  <si>
    <t>Beer Molson/Labatt Distributed650</t>
  </si>
  <si>
    <t>Beer Molson/Labatt Distributed660</t>
  </si>
  <si>
    <t>Beer Molson/Labatt Distributed710</t>
  </si>
  <si>
    <t>Beer Molson/Labatt Distributed750</t>
  </si>
  <si>
    <t>Beer Molson/Labatt Distributed765</t>
  </si>
  <si>
    <t>Beer Molson/Labatt Distributed944</t>
  </si>
  <si>
    <t>Beer Molson/Labatt Distributed946</t>
  </si>
  <si>
    <t>Beer Molson/Labatt Distributed1000</t>
  </si>
  <si>
    <t>Beer Molson/Labatt Distributed1320</t>
  </si>
  <si>
    <t>Beer Molson/Labatt Distributed1420</t>
  </si>
  <si>
    <t>Beer Molson/Labatt Distributed1500</t>
  </si>
  <si>
    <t>Beer Molson/Labatt Distributed1760</t>
  </si>
  <si>
    <t>Beer Molson/Labatt Distributed1775</t>
  </si>
  <si>
    <t>Beer Molson/Labatt Distributed1892</t>
  </si>
  <si>
    <t>Beer Molson/Labatt Distributed1980</t>
  </si>
  <si>
    <t>Beer Molson/Labatt Distributed2000</t>
  </si>
  <si>
    <t>Beer Molson/Labatt Distributed2100</t>
  </si>
  <si>
    <t>Beer Molson/Labatt Distributed2124</t>
  </si>
  <si>
    <t>Beer Molson/Labatt Distributed2130</t>
  </si>
  <si>
    <t>Beer Molson/Labatt Distributed2040</t>
  </si>
  <si>
    <t>Beer Molson/Labatt Distributed2046</t>
  </si>
  <si>
    <t>Beer Molson/Labatt Distributed2076</t>
  </si>
  <si>
    <t>Beer Molson/Labatt Distributed2840</t>
  </si>
  <si>
    <t>Beer Molson/Labatt Distributed2832</t>
  </si>
  <si>
    <t>Beer Molson/Labatt Distributed2838</t>
  </si>
  <si>
    <t>Beer Molson/Labatt Distributed2843</t>
  </si>
  <si>
    <t>Beer Molson/Labatt Distributed3784</t>
  </si>
  <si>
    <t>Beer Molson/Labatt Distributed3960</t>
  </si>
  <si>
    <t>Beer Molson/Labatt Distributed4000</t>
  </si>
  <si>
    <t>Beer Molson/Labatt Distributed4092</t>
  </si>
  <si>
    <t>Beer Molson/Labatt Distributed4260</t>
  </si>
  <si>
    <t>Beer Molson/Labatt Distributed5000</t>
  </si>
  <si>
    <t>Beer Molson/Labatt Distributed5115</t>
  </si>
  <si>
    <t>Beer Molson/Labatt Distributed5940</t>
  </si>
  <si>
    <t>Beer Molson/Labatt Distributed7920</t>
  </si>
  <si>
    <t>Beer Molson/Labatt Distributed20000</t>
  </si>
  <si>
    <t>Beer Molson/Labatt Distributed30000</t>
  </si>
  <si>
    <t>Beer Molson/Labatt Distributed50000</t>
  </si>
  <si>
    <t>Beer Molson/Labatt Distributed58600</t>
  </si>
  <si>
    <t>Beer Molson/Labatt Distributed8184</t>
  </si>
  <si>
    <t>Beer Molson/Labatt Distributed8520</t>
  </si>
  <si>
    <t>Beer Molson/Labatt Distributed Low Alcohol Beer2046</t>
  </si>
  <si>
    <t>Beer Molson/Labatt Distributed Low Alcohol Beer2130</t>
  </si>
  <si>
    <t>Beer Molson/Labatt Distributed Low Alcohol Beer4260</t>
  </si>
  <si>
    <t>Beer Molson/Labatt Distributed</t>
  </si>
  <si>
    <t>Beer Molson/Labatt Distributed Low Alcohol Beer</t>
  </si>
  <si>
    <t>Beer Molson/Labatt DistributedCDN</t>
  </si>
  <si>
    <t>Designation/Region**:</t>
  </si>
  <si>
    <t>Ice Wine</t>
  </si>
  <si>
    <t>Kosher</t>
  </si>
  <si>
    <t>Non - Alcohol</t>
  </si>
  <si>
    <t>Unspecified</t>
  </si>
  <si>
    <t>VQA - Canada</t>
  </si>
  <si>
    <t>VQA - Ice Wine</t>
  </si>
  <si>
    <t>Tammy Brenton</t>
  </si>
  <si>
    <t>709-724-2237</t>
  </si>
  <si>
    <t>tammy.brenton@nlliquor.com</t>
  </si>
  <si>
    <t>Sparkling Wine800</t>
  </si>
  <si>
    <t>Beer NLC Distributed12000</t>
  </si>
  <si>
    <t>Beer Keg20000</t>
  </si>
  <si>
    <t>Beer Keg30000</t>
  </si>
  <si>
    <t>Beer Keg50000</t>
  </si>
  <si>
    <t>Beer Keg</t>
  </si>
  <si>
    <t>Beer KegCDN</t>
  </si>
  <si>
    <t>CET</t>
  </si>
  <si>
    <t>Beer NLC DistributedCET</t>
  </si>
  <si>
    <t>WineLow Alcohol - Wine &amp; SparklingCET</t>
  </si>
  <si>
    <t>Code 165 - CET - Non-Alc. Wine &amp; Sparkling</t>
  </si>
  <si>
    <t>Sparkling Wine&gt;7%&lt;=13.7%CET</t>
  </si>
  <si>
    <t>Sparkling Wine&lt;=7%CET</t>
  </si>
  <si>
    <t>Wine&lt;=7%CET</t>
  </si>
  <si>
    <t>Wine&gt;7%&lt;=13.7%CET</t>
  </si>
  <si>
    <t>Wine&gt;13.7%&lt;=14.9%CET</t>
  </si>
  <si>
    <t>Wine&gt;14.9%&lt;=22.9%CET</t>
  </si>
  <si>
    <t>Wine&gt;22.9%CET</t>
  </si>
  <si>
    <t>SakeCET</t>
  </si>
  <si>
    <t>Ready To DrinkCET</t>
  </si>
  <si>
    <t>Ready To Drink&lt;=7%CET</t>
  </si>
  <si>
    <t>Ready To Drink&gt;7%&lt;=13.7%CET</t>
  </si>
  <si>
    <t>Vermouth, Etc.CET</t>
  </si>
  <si>
    <t>CiderCET</t>
  </si>
  <si>
    <t>Imported CiderCET</t>
  </si>
  <si>
    <t>Sparkling CiderCET</t>
  </si>
  <si>
    <t>Sparkling PerryCET</t>
  </si>
  <si>
    <t>BrandyCET</t>
  </si>
  <si>
    <t>WhiskyCET</t>
  </si>
  <si>
    <t>RumCET</t>
  </si>
  <si>
    <t>GinCET</t>
  </si>
  <si>
    <t>VodkaCET</t>
  </si>
  <si>
    <t>TequilaCET</t>
  </si>
  <si>
    <t>LiqueurCET</t>
  </si>
  <si>
    <t>Other Alcoholic BeverageCET</t>
  </si>
  <si>
    <t>Origin Declaration</t>
  </si>
  <si>
    <t>Wholesale Imports</t>
  </si>
  <si>
    <t>Origin Declaration Instructions</t>
  </si>
  <si>
    <t>For the purposes of obtaining preferential tariff treatment, this document must be completed legible and in full by the exporter to be in the possession of the importer at the time the declaration is made.  This document may also be completed voluntarily by the producer for use by the exporter.  Please print or type.</t>
  </si>
  <si>
    <t>Exporter's Name and Address</t>
  </si>
  <si>
    <t>Blanket Period</t>
  </si>
  <si>
    <t>Field 1:</t>
  </si>
  <si>
    <t>State the full legal name, address (including country) and customs authorization number.
When the origin declaration is completed by an approved or registered exporter, the exporter's customs authorization or registration number must be included.  A customs authorization number is required only if the exporter is an approved exporter.  When the origin declaration is not completed by an approved or registered exporter, the number must be omitted or the space left blank.</t>
  </si>
  <si>
    <t>Customs Authorization Number</t>
  </si>
  <si>
    <t>Producer's Name and Address</t>
  </si>
  <si>
    <t>Importer's Name and Address</t>
  </si>
  <si>
    <t>Field 2:</t>
  </si>
  <si>
    <t>Complete field if the origin declaration coveres multiple shipments of identical goods as described in Field 5 that is imported for a specific period of up to one calendar year (ie. January 1 to December 31).  "FROM" is the date upon which the declaration becomes applicable to the goods covered by the declaration. "TO" is the date upon which the blanket period expires.  The importation of a good for which preferential tariff treatment is claimed based on this declaration must occur between these dates.  The Newfoundland Labrador Liquor Corporation  will allow declarations received during 2017 to expire at the end of 2018.  Subsequent to 2018 this declaration will be required annually.</t>
  </si>
  <si>
    <t>90 Kenmount Road</t>
  </si>
  <si>
    <t>St. John's, NL A1B 3R1</t>
  </si>
  <si>
    <t>Description of Good(s)</t>
  </si>
  <si>
    <t>HS Tariff Classification Number</t>
  </si>
  <si>
    <t>Country of Origin</t>
  </si>
  <si>
    <t>Field 3:</t>
  </si>
  <si>
    <t>State the full legal name, address (including country) for the producer.  If more than one producer's good is included on the declaration, attach a list of the additional producers, including legal name, address (including country), cross referenced to the goods described in Field 5.  If the producer and the exporter are the same, complete the field with "SAME".</t>
  </si>
  <si>
    <t>Sku</t>
  </si>
  <si>
    <t>Description</t>
  </si>
  <si>
    <t>Field 4:</t>
  </si>
  <si>
    <t>State the Newfoundland Labrador Liquor Corporation.</t>
  </si>
  <si>
    <t>Field 5:</t>
  </si>
  <si>
    <t>Provide full description of each good: SKU Number, Product Name, Bottle Size, and Alcohol Percentage.</t>
  </si>
  <si>
    <t>Field 6:</t>
  </si>
  <si>
    <t>For each good described in Field 5, identify the Harmonized System (HS) tariff classification to 6 digits.</t>
  </si>
  <si>
    <t>http://www.cbsa-asfc.gc.ca/trade-commerce/tariff-tarif/2017/menu-eng.html</t>
  </si>
  <si>
    <t>Field 7:</t>
  </si>
  <si>
    <t>Identify the name of the country to which the preferential rate of customs duty applies.</t>
  </si>
  <si>
    <t>Field 8:</t>
  </si>
  <si>
    <t>This field must be completed, signed and dated by the exporter.  When the certificate is completed by the producer for use by the exporter, it must be completed, signed and dated by the producer.  The date must be the date the declaration was completed and signed.</t>
  </si>
  <si>
    <t>The exporter of the products covered by this document declares that, except where otherwise indicated, these products are of preferential origin.</t>
  </si>
  <si>
    <t>Authorized Signature</t>
  </si>
  <si>
    <t>Company</t>
  </si>
  <si>
    <t>Title</t>
  </si>
  <si>
    <t>Date (DD-MM-YY)</t>
  </si>
  <si>
    <t>Telephone</t>
  </si>
  <si>
    <t>Email completed form to: Customs&amp;Excise@nlliquor.com</t>
  </si>
  <si>
    <t>Ready To Drink5000</t>
  </si>
  <si>
    <t>Beer NLC Distributed1419</t>
  </si>
  <si>
    <t>Beaujolais Nouveau 2018</t>
  </si>
  <si>
    <t>Country of Origin:</t>
  </si>
  <si>
    <t>Beer NLC Distributed5325</t>
  </si>
  <si>
    <t>Spirits, Beer &amp; Ready-to-Drink</t>
  </si>
  <si>
    <t>Beer NLC Distributed2500</t>
  </si>
  <si>
    <t>CPT</t>
  </si>
  <si>
    <t>Sparkling Wine&gt;7%&lt;=13.7%CPT</t>
  </si>
  <si>
    <t>Sparkling Wine&lt;=7%CPT</t>
  </si>
  <si>
    <t>Wine&lt;=7%CPT</t>
  </si>
  <si>
    <t>Wine&gt;7%&lt;=13.7%CPT</t>
  </si>
  <si>
    <t>Wine&gt;13.7%&lt;=14.9%CPT</t>
  </si>
  <si>
    <t>Wine&gt;14.9%&lt;=22.9%CPT</t>
  </si>
  <si>
    <t>Wine&gt;22.9%CPT</t>
  </si>
  <si>
    <t>WineLow Alcohol - Wine &amp; SparklingCPT</t>
  </si>
  <si>
    <t>Beer NLC DistributedCPT</t>
  </si>
  <si>
    <t>WhiskyCPT</t>
  </si>
  <si>
    <t>Wines</t>
  </si>
  <si>
    <t>709-724-2270</t>
  </si>
  <si>
    <t>Cider750</t>
  </si>
  <si>
    <t>Spirit1125</t>
  </si>
  <si>
    <t>LiqueurCPT</t>
  </si>
  <si>
    <t>USA - Maine</t>
  </si>
  <si>
    <t>Cider2000</t>
  </si>
  <si>
    <t>Invoice Supplier</t>
  </si>
  <si>
    <t>Invoice National Agent</t>
  </si>
  <si>
    <t>Invoice Local Agent</t>
  </si>
  <si>
    <t>Fiscal Year 2021</t>
  </si>
  <si>
    <t>Vicki Young</t>
  </si>
  <si>
    <t>vicki.young@nlliquor.com</t>
  </si>
  <si>
    <t>From: July 1, 2020</t>
  </si>
  <si>
    <t>To: Decemember 31, 2020</t>
  </si>
  <si>
    <t>Panama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</si>
</sst>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quot;#,##0.00"/>
    <numFmt numFmtId="165" formatCode="[$$-1009]#,##0.0000"/>
    <numFmt numFmtId="166" formatCode="0.0000"/>
    <numFmt numFmtId="167" formatCode="00000000000000"/>
    <numFmt numFmtId="168" formatCode="[$-409]mmmm\ d\,\ yyyy;@"/>
  </numFmts>
  <fonts count="3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b/>
      <sz val="12"/>
      <name val="Arial"/>
      <family val="2"/>
    </font>
    <font>
      <sz val="12"/>
      <name val="Arial"/>
      <family val="2"/>
    </font>
    <font>
      <u/>
      <sz val="12"/>
      <color indexed="12"/>
      <name val="Arial"/>
      <family val="2"/>
    </font>
    <font>
      <sz val="11"/>
      <name val="Arial"/>
      <family val="2"/>
    </font>
    <font>
      <b/>
      <sz val="10"/>
      <name val="Arial"/>
      <family val="2"/>
    </font>
    <font>
      <b/>
      <u/>
      <sz val="10"/>
      <name val="Arial"/>
      <family val="2"/>
    </font>
    <font>
      <sz val="10"/>
      <name val="Arial"/>
      <family val="2"/>
    </font>
    <font>
      <b/>
      <sz val="10"/>
      <color indexed="18"/>
      <name val="Arial"/>
      <family val="2"/>
    </font>
    <font>
      <b/>
      <sz val="18"/>
      <name val="Arial"/>
      <family val="2"/>
    </font>
    <font>
      <sz val="9"/>
      <name val="Arial"/>
      <family val="2"/>
    </font>
    <font>
      <i/>
      <sz val="12"/>
      <name val="Arial"/>
      <family val="2"/>
    </font>
    <font>
      <sz val="9"/>
      <name val="Comic Sans MS"/>
      <family val="4"/>
    </font>
    <font>
      <b/>
      <sz val="8"/>
      <color indexed="81"/>
      <name val="Tahoma"/>
      <family val="2"/>
    </font>
    <font>
      <sz val="8"/>
      <color indexed="81"/>
      <name val="Tahoma"/>
      <family val="2"/>
    </font>
    <font>
      <sz val="9"/>
      <color indexed="81"/>
      <name val="Tahoma"/>
      <family val="2"/>
    </font>
    <font>
      <b/>
      <sz val="9"/>
      <color indexed="81"/>
      <name val="Tahoma"/>
      <family val="2"/>
    </font>
    <font>
      <b/>
      <sz val="14"/>
      <color rgb="FFFF0000"/>
      <name val="Arial"/>
      <family val="2"/>
    </font>
    <font>
      <b/>
      <sz val="11"/>
      <color rgb="FFFF0000"/>
      <name val="Arial"/>
      <family val="2"/>
    </font>
    <font>
      <b/>
      <sz val="20"/>
      <name val="Arial"/>
      <family val="2"/>
    </font>
    <font>
      <b/>
      <sz val="11"/>
      <color theme="0"/>
      <name val="Calibri"/>
      <family val="2"/>
      <scheme val="minor"/>
    </font>
    <font>
      <b/>
      <sz val="11"/>
      <color theme="1"/>
      <name val="Calibri"/>
      <family val="2"/>
      <scheme val="minor"/>
    </font>
    <font>
      <b/>
      <sz val="11"/>
      <color theme="1"/>
      <name val="Calibri"/>
      <family val="2"/>
    </font>
    <font>
      <u/>
      <sz val="11"/>
      <color theme="10"/>
      <name val="Calibri"/>
      <family val="2"/>
      <scheme val="minor"/>
    </font>
    <font>
      <u/>
      <sz val="12"/>
      <name val="Arial"/>
      <family val="2"/>
    </font>
    <font>
      <b/>
      <sz val="11"/>
      <name val="Arial"/>
      <family val="2"/>
    </font>
    <font>
      <b/>
      <sz val="12"/>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1" tint="0.249977111117893"/>
        <bgColor indexed="64"/>
      </patternFill>
    </fill>
  </fills>
  <borders count="29">
    <border>
      <left/>
      <right/>
      <top/>
      <bottom/>
      <diagonal/>
    </border>
    <border>
      <left style="thin">
        <color indexed="64"/>
      </left>
      <right/>
      <top/>
      <bottom/>
      <diagonal/>
    </border>
    <border>
      <left/>
      <right style="thin">
        <color indexed="64"/>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ck">
        <color auto="1"/>
      </bottom>
      <diagonal/>
    </border>
    <border>
      <left/>
      <right/>
      <top style="thick">
        <color auto="1"/>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43" fontId="4" fillId="0" borderId="0" applyFont="0" applyFill="0" applyBorder="0" applyAlignment="0" applyProtection="0"/>
    <xf numFmtId="0" fontId="8" fillId="0" borderId="0" applyNumberFormat="0" applyFill="0" applyBorder="0" applyAlignment="0" applyProtection="0">
      <alignment vertical="top"/>
      <protection locked="0"/>
    </xf>
    <xf numFmtId="0" fontId="12" fillId="0" borderId="0"/>
    <xf numFmtId="0" fontId="12" fillId="0" borderId="0"/>
    <xf numFmtId="0" fontId="3" fillId="0" borderId="0"/>
    <xf numFmtId="0" fontId="28" fillId="0" borderId="0" applyNumberFormat="0" applyFill="0" applyBorder="0" applyAlignment="0" applyProtection="0"/>
  </cellStyleXfs>
  <cellXfs count="307">
    <xf numFmtId="0" fontId="0" fillId="0" borderId="0" xfId="0"/>
    <xf numFmtId="0" fontId="5" fillId="0" borderId="0" xfId="0" applyFont="1"/>
    <xf numFmtId="0" fontId="0" fillId="2" borderId="0" xfId="0" applyFill="1"/>
    <xf numFmtId="0" fontId="0" fillId="3" borderId="0" xfId="0" applyFill="1" applyBorder="1" applyAlignment="1">
      <alignment horizontal="right"/>
    </xf>
    <xf numFmtId="0" fontId="0" fillId="3" borderId="0" xfId="0" applyFill="1" applyAlignment="1">
      <alignment horizontal="right"/>
    </xf>
    <xf numFmtId="0" fontId="0" fillId="3" borderId="0" xfId="0" applyFill="1"/>
    <xf numFmtId="0" fontId="9" fillId="3" borderId="0" xfId="0" applyFont="1" applyFill="1" applyBorder="1" applyAlignment="1">
      <alignment horizontal="center"/>
    </xf>
    <xf numFmtId="0" fontId="9" fillId="3" borderId="0" xfId="0" applyFont="1" applyFill="1" applyAlignment="1">
      <alignment horizontal="right"/>
    </xf>
    <xf numFmtId="0" fontId="9" fillId="3" borderId="0" xfId="0" applyFont="1" applyFill="1" applyBorder="1" applyAlignment="1">
      <alignment horizontal="right"/>
    </xf>
    <xf numFmtId="0" fontId="9" fillId="2" borderId="0" xfId="0" applyFont="1" applyFill="1"/>
    <xf numFmtId="0" fontId="5" fillId="3" borderId="0" xfId="0" applyFont="1" applyFill="1"/>
    <xf numFmtId="0" fontId="0" fillId="3" borderId="0" xfId="0" applyFill="1" applyBorder="1" applyAlignment="1">
      <alignment horizontal="center"/>
    </xf>
    <xf numFmtId="0" fontId="7" fillId="3" borderId="0" xfId="0" applyFont="1" applyFill="1" applyBorder="1" applyAlignment="1">
      <alignment horizontal="center"/>
    </xf>
    <xf numFmtId="0" fontId="0" fillId="3" borderId="1" xfId="0" applyFill="1" applyBorder="1" applyAlignment="1">
      <alignment horizontal="right"/>
    </xf>
    <xf numFmtId="0" fontId="0" fillId="3" borderId="2" xfId="0" applyFill="1" applyBorder="1" applyAlignment="1">
      <alignment horizontal="right"/>
    </xf>
    <xf numFmtId="0" fontId="6" fillId="3" borderId="0" xfId="0" applyFont="1" applyFill="1" applyBorder="1" applyAlignment="1">
      <alignment horizontal="left"/>
    </xf>
    <xf numFmtId="0" fontId="0" fillId="0" borderId="0" xfId="0" applyAlignment="1">
      <alignment horizontal="right"/>
    </xf>
    <xf numFmtId="0" fontId="9" fillId="3" borderId="3" xfId="0" applyFont="1" applyFill="1" applyBorder="1" applyAlignment="1">
      <alignment horizontal="right"/>
    </xf>
    <xf numFmtId="0" fontId="0" fillId="3" borderId="3" xfId="0" applyFill="1" applyBorder="1" applyAlignment="1">
      <alignment horizontal="left"/>
    </xf>
    <xf numFmtId="0" fontId="7" fillId="3" borderId="3" xfId="0" applyFont="1" applyFill="1" applyBorder="1" applyAlignment="1">
      <alignment horizontal="left"/>
    </xf>
    <xf numFmtId="0" fontId="0" fillId="0" borderId="0" xfId="0" applyBorder="1" applyAlignment="1">
      <alignment horizontal="center"/>
    </xf>
    <xf numFmtId="0" fontId="10" fillId="3" borderId="0" xfId="0" applyFont="1" applyFill="1" applyBorder="1" applyAlignment="1">
      <alignment horizontal="center" vertical="top"/>
    </xf>
    <xf numFmtId="0" fontId="0" fillId="0" borderId="0" xfId="0" applyBorder="1" applyAlignment="1">
      <alignment horizontal="right"/>
    </xf>
    <xf numFmtId="0" fontId="8" fillId="3" borderId="0" xfId="2" applyFill="1" applyBorder="1" applyAlignment="1" applyProtection="1">
      <alignment horizontal="center"/>
    </xf>
    <xf numFmtId="49" fontId="0" fillId="3" borderId="0" xfId="0" applyNumberFormat="1" applyFill="1" applyBorder="1" applyAlignment="1">
      <alignment horizontal="center"/>
    </xf>
    <xf numFmtId="0" fontId="10" fillId="0" borderId="4" xfId="0" applyFont="1" applyBorder="1"/>
    <xf numFmtId="0" fontId="11" fillId="0" borderId="0" xfId="0" applyFont="1"/>
    <xf numFmtId="49" fontId="0" fillId="3" borderId="0" xfId="0" applyNumberFormat="1" applyFill="1" applyBorder="1" applyAlignment="1">
      <alignment horizontal="right"/>
    </xf>
    <xf numFmtId="0" fontId="0" fillId="3" borderId="0" xfId="0" applyFill="1" applyBorder="1" applyAlignment="1">
      <alignment horizontal="left"/>
    </xf>
    <xf numFmtId="0" fontId="0" fillId="3" borderId="3" xfId="0" applyFill="1" applyBorder="1" applyAlignment="1">
      <alignment horizontal="right"/>
    </xf>
    <xf numFmtId="0" fontId="8" fillId="3" borderId="3" xfId="2" applyFill="1" applyBorder="1" applyAlignment="1" applyProtection="1">
      <alignment horizontal="center"/>
    </xf>
    <xf numFmtId="0" fontId="0" fillId="3" borderId="3" xfId="0" applyFill="1" applyBorder="1" applyAlignment="1">
      <alignment horizontal="center"/>
    </xf>
    <xf numFmtId="49" fontId="0" fillId="3" borderId="3" xfId="0" applyNumberFormat="1" applyFill="1" applyBorder="1" applyAlignment="1">
      <alignment horizontal="center"/>
    </xf>
    <xf numFmtId="0" fontId="0" fillId="0" borderId="3" xfId="0" applyBorder="1" applyAlignment="1">
      <alignment horizontal="right"/>
    </xf>
    <xf numFmtId="0" fontId="0" fillId="0" borderId="3" xfId="0" applyBorder="1" applyAlignment="1">
      <alignment horizontal="center"/>
    </xf>
    <xf numFmtId="0" fontId="0" fillId="0" borderId="3" xfId="0" applyBorder="1"/>
    <xf numFmtId="0" fontId="12" fillId="0" borderId="0" xfId="3"/>
    <xf numFmtId="0" fontId="12" fillId="0" borderId="0" xfId="4"/>
    <xf numFmtId="0" fontId="7" fillId="0" borderId="0" xfId="4" applyFont="1" applyBorder="1"/>
    <xf numFmtId="0" fontId="13" fillId="0" borderId="0" xfId="4" applyFont="1" applyAlignment="1">
      <alignment horizontal="center" wrapText="1"/>
    </xf>
    <xf numFmtId="0" fontId="0" fillId="0" borderId="0" xfId="0" applyAlignment="1">
      <alignment horizontal="center"/>
    </xf>
    <xf numFmtId="0" fontId="12" fillId="0" borderId="0" xfId="4" applyFont="1"/>
    <xf numFmtId="0" fontId="9" fillId="3" borderId="0" xfId="0" applyFont="1" applyFill="1" applyBorder="1" applyAlignment="1">
      <alignment horizontal="right" wrapText="1"/>
    </xf>
    <xf numFmtId="0" fontId="7" fillId="0" borderId="0" xfId="0" applyFont="1" applyAlignment="1">
      <alignment horizontal="left"/>
    </xf>
    <xf numFmtId="0" fontId="8" fillId="0" borderId="0" xfId="2" applyAlignment="1" applyProtection="1"/>
    <xf numFmtId="0" fontId="15" fillId="0" borderId="0" xfId="0" applyFont="1" applyAlignment="1">
      <alignment horizontal="center"/>
    </xf>
    <xf numFmtId="0" fontId="6" fillId="3" borderId="0" xfId="0" applyFont="1" applyFill="1" applyBorder="1" applyAlignment="1"/>
    <xf numFmtId="0" fontId="0" fillId="0" borderId="0" xfId="0" applyFill="1"/>
    <xf numFmtId="0" fontId="7" fillId="0" borderId="0" xfId="4" applyFont="1" applyFill="1" applyBorder="1"/>
    <xf numFmtId="0" fontId="0" fillId="0" borderId="0" xfId="0" applyAlignment="1"/>
    <xf numFmtId="0" fontId="0" fillId="0" borderId="0" xfId="0" applyBorder="1" applyAlignment="1"/>
    <xf numFmtId="0" fontId="12" fillId="0" borderId="0" xfId="0" applyFont="1"/>
    <xf numFmtId="0" fontId="0" fillId="0" borderId="0" xfId="0" applyBorder="1" applyAlignment="1">
      <alignment horizontal="left"/>
    </xf>
    <xf numFmtId="43" fontId="5" fillId="0" borderId="0" xfId="1" applyFont="1"/>
    <xf numFmtId="165" fontId="17" fillId="0" borderId="5" xfId="0" applyNumberFormat="1" applyFont="1" applyFill="1" applyBorder="1"/>
    <xf numFmtId="0" fontId="10" fillId="0" borderId="5" xfId="0" applyFont="1" applyFill="1" applyBorder="1"/>
    <xf numFmtId="2" fontId="10" fillId="0" borderId="5" xfId="0" applyNumberFormat="1" applyFont="1" applyFill="1" applyBorder="1"/>
    <xf numFmtId="166" fontId="10" fillId="0" borderId="5" xfId="0" applyNumberFormat="1" applyFont="1" applyFill="1" applyBorder="1"/>
    <xf numFmtId="2" fontId="0" fillId="0" borderId="5" xfId="0" applyNumberFormat="1" applyFill="1" applyBorder="1" applyAlignment="1">
      <alignment wrapText="1"/>
    </xf>
    <xf numFmtId="0" fontId="0" fillId="0" borderId="5" xfId="0" applyFill="1" applyBorder="1" applyAlignment="1">
      <alignment wrapText="1"/>
    </xf>
    <xf numFmtId="0" fontId="0" fillId="0" borderId="1" xfId="0" applyFill="1" applyBorder="1" applyAlignment="1">
      <alignment wrapText="1"/>
    </xf>
    <xf numFmtId="0" fontId="0" fillId="0" borderId="5" xfId="0" applyFill="1" applyBorder="1"/>
    <xf numFmtId="2" fontId="0" fillId="0" borderId="5" xfId="0" applyNumberFormat="1" applyFill="1" applyBorder="1"/>
    <xf numFmtId="166" fontId="0" fillId="0" borderId="5" xfId="0" applyNumberFormat="1" applyFill="1" applyBorder="1"/>
    <xf numFmtId="0" fontId="0" fillId="0" borderId="0" xfId="0" applyFill="1" applyBorder="1"/>
    <xf numFmtId="2" fontId="0" fillId="0" borderId="0" xfId="0" applyNumberFormat="1" applyFill="1"/>
    <xf numFmtId="0" fontId="0" fillId="4" borderId="5" xfId="0" applyFill="1" applyBorder="1"/>
    <xf numFmtId="2" fontId="0" fillId="4" borderId="5" xfId="0" applyNumberFormat="1" applyFill="1" applyBorder="1"/>
    <xf numFmtId="166" fontId="0" fillId="4" borderId="5" xfId="0" applyNumberFormat="1" applyFill="1" applyBorder="1"/>
    <xf numFmtId="0" fontId="0" fillId="4" borderId="0" xfId="0" applyFill="1" applyBorder="1"/>
    <xf numFmtId="2" fontId="0" fillId="4" borderId="0" xfId="0" applyNumberFormat="1" applyFill="1"/>
    <xf numFmtId="0" fontId="0" fillId="4" borderId="0" xfId="0" applyFill="1"/>
    <xf numFmtId="0" fontId="0" fillId="5" borderId="5" xfId="0" applyFill="1" applyBorder="1"/>
    <xf numFmtId="166" fontId="0" fillId="5" borderId="5" xfId="0" applyNumberFormat="1" applyFill="1" applyBorder="1"/>
    <xf numFmtId="2" fontId="0" fillId="5" borderId="5" xfId="0" applyNumberFormat="1" applyFill="1" applyBorder="1"/>
    <xf numFmtId="0" fontId="0" fillId="5" borderId="0" xfId="0" applyFill="1" applyBorder="1"/>
    <xf numFmtId="2" fontId="0" fillId="5" borderId="0" xfId="0" applyNumberFormat="1" applyFill="1"/>
    <xf numFmtId="0" fontId="0" fillId="5" borderId="0" xfId="0" applyFill="1"/>
    <xf numFmtId="2" fontId="0" fillId="0" borderId="0" xfId="0" applyNumberFormat="1" applyFill="1" applyBorder="1"/>
    <xf numFmtId="0" fontId="10" fillId="0" borderId="5" xfId="0" applyFont="1" applyBorder="1" applyAlignment="1">
      <alignment wrapText="1"/>
    </xf>
    <xf numFmtId="0" fontId="0" fillId="0" borderId="5" xfId="0" applyBorder="1"/>
    <xf numFmtId="164" fontId="0" fillId="0" borderId="0" xfId="0" applyNumberFormat="1"/>
    <xf numFmtId="0" fontId="0" fillId="0" borderId="0" xfId="0" applyAlignment="1">
      <alignment horizontal="left"/>
    </xf>
    <xf numFmtId="0" fontId="9" fillId="0" borderId="0" xfId="0" applyFont="1" applyBorder="1" applyAlignment="1">
      <alignment horizontal="left"/>
    </xf>
    <xf numFmtId="10" fontId="0" fillId="0" borderId="0" xfId="0" applyNumberFormat="1" applyFill="1"/>
    <xf numFmtId="0" fontId="7" fillId="0" borderId="0" xfId="0" applyFont="1"/>
    <xf numFmtId="0" fontId="9" fillId="0" borderId="6" xfId="0" applyFont="1" applyBorder="1" applyAlignment="1"/>
    <xf numFmtId="0" fontId="7" fillId="0" borderId="5" xfId="0" applyFont="1" applyBorder="1"/>
    <xf numFmtId="0" fontId="7" fillId="0" borderId="0" xfId="0" applyFont="1" applyBorder="1"/>
    <xf numFmtId="0" fontId="7" fillId="0" borderId="0" xfId="0" applyFont="1" applyFill="1" applyBorder="1"/>
    <xf numFmtId="0" fontId="7" fillId="0" borderId="5" xfId="0" applyFont="1" applyFill="1" applyBorder="1"/>
    <xf numFmtId="0" fontId="5" fillId="0" borderId="5" xfId="0" applyFont="1" applyBorder="1" applyAlignment="1" applyProtection="1">
      <alignment horizontal="center"/>
      <protection locked="0"/>
    </xf>
    <xf numFmtId="0" fontId="4" fillId="0" borderId="5" xfId="0" applyFont="1" applyBorder="1"/>
    <xf numFmtId="0" fontId="4" fillId="0" borderId="0" xfId="0" applyFont="1"/>
    <xf numFmtId="2" fontId="0" fillId="0" borderId="0" xfId="0" applyNumberFormat="1"/>
    <xf numFmtId="0" fontId="4" fillId="3" borderId="0" xfId="0" applyFont="1" applyFill="1" applyBorder="1" applyAlignment="1">
      <alignment horizontal="right"/>
    </xf>
    <xf numFmtId="0" fontId="4" fillId="0" borderId="5" xfId="0" applyFont="1" applyFill="1" applyBorder="1"/>
    <xf numFmtId="0" fontId="0" fillId="0" borderId="0" xfId="0" applyFill="1" applyBorder="1" applyAlignment="1" applyProtection="1"/>
    <xf numFmtId="0" fontId="0" fillId="7" borderId="0" xfId="0" applyFill="1"/>
    <xf numFmtId="0" fontId="0" fillId="8" borderId="0" xfId="0" applyFill="1"/>
    <xf numFmtId="0" fontId="0" fillId="0" borderId="0" xfId="0" applyAlignment="1">
      <alignment horizontal="right"/>
    </xf>
    <xf numFmtId="0" fontId="6" fillId="9" borderId="12" xfId="0" applyFont="1" applyFill="1" applyBorder="1" applyAlignment="1"/>
    <xf numFmtId="0" fontId="4" fillId="3" borderId="14" xfId="0" applyFont="1" applyFill="1" applyBorder="1" applyAlignment="1"/>
    <xf numFmtId="0" fontId="6" fillId="3" borderId="14" xfId="0" applyFont="1" applyFill="1" applyBorder="1" applyAlignment="1"/>
    <xf numFmtId="0" fontId="6" fillId="3" borderId="15" xfId="0" applyFont="1" applyFill="1" applyBorder="1" applyAlignment="1"/>
    <xf numFmtId="0" fontId="5" fillId="0" borderId="0" xfId="0" applyFont="1" applyBorder="1" applyAlignment="1" applyProtection="1">
      <alignment horizontal="left"/>
      <protection locked="0"/>
    </xf>
    <xf numFmtId="0" fontId="7" fillId="7" borderId="0" xfId="0" applyFont="1" applyFill="1"/>
    <xf numFmtId="2" fontId="0" fillId="7" borderId="5" xfId="0" applyNumberFormat="1" applyFill="1" applyBorder="1"/>
    <xf numFmtId="166" fontId="0" fillId="7" borderId="5" xfId="0" applyNumberFormat="1" applyFill="1" applyBorder="1"/>
    <xf numFmtId="0" fontId="0" fillId="7" borderId="5" xfId="0" applyFill="1" applyBorder="1"/>
    <xf numFmtId="2" fontId="0" fillId="7" borderId="0" xfId="0" applyNumberFormat="1" applyFill="1" applyBorder="1"/>
    <xf numFmtId="2" fontId="0" fillId="7" borderId="0" xfId="0" applyNumberFormat="1" applyFill="1"/>
    <xf numFmtId="0" fontId="7" fillId="0" borderId="0" xfId="0" applyFont="1" applyFill="1"/>
    <xf numFmtId="2" fontId="0" fillId="0" borderId="1" xfId="0" applyNumberFormat="1" applyFill="1" applyBorder="1" applyAlignment="1"/>
    <xf numFmtId="2" fontId="0" fillId="0" borderId="0" xfId="0" applyNumberFormat="1" applyFill="1" applyAlignment="1"/>
    <xf numFmtId="0" fontId="4" fillId="0" borderId="0" xfId="0" applyFont="1" applyAlignment="1">
      <alignment horizontal="right"/>
    </xf>
    <xf numFmtId="0" fontId="0" fillId="0" borderId="22" xfId="0" applyBorder="1" applyAlignment="1">
      <alignment horizontal="center"/>
    </xf>
    <xf numFmtId="0" fontId="4" fillId="7" borderId="0" xfId="0" applyFont="1" applyFill="1"/>
    <xf numFmtId="0" fontId="3" fillId="0" borderId="0" xfId="5"/>
    <xf numFmtId="0" fontId="26" fillId="0" borderId="0" xfId="5" applyFont="1" applyAlignment="1">
      <alignment horizontal="right"/>
    </xf>
    <xf numFmtId="0" fontId="3" fillId="0" borderId="0" xfId="5" applyAlignment="1">
      <alignment horizontal="right"/>
    </xf>
    <xf numFmtId="0" fontId="3" fillId="0" borderId="0" xfId="5" applyFill="1"/>
    <xf numFmtId="0" fontId="26" fillId="0" borderId="23" xfId="5" applyFont="1" applyBorder="1" applyAlignment="1">
      <alignment horizontal="center" vertical="center"/>
    </xf>
    <xf numFmtId="0" fontId="3" fillId="0" borderId="23" xfId="5" applyBorder="1"/>
    <xf numFmtId="0" fontId="25" fillId="10" borderId="6" xfId="5" applyFont="1" applyFill="1" applyBorder="1" applyAlignment="1">
      <alignment horizontal="center" vertical="center"/>
    </xf>
    <xf numFmtId="0" fontId="26" fillId="0" borderId="13" xfId="5" applyFont="1" applyBorder="1"/>
    <xf numFmtId="0" fontId="3" fillId="0" borderId="11" xfId="5" applyBorder="1"/>
    <xf numFmtId="0" fontId="25" fillId="10" borderId="6" xfId="5" applyFont="1" applyFill="1" applyBorder="1" applyAlignment="1" applyProtection="1">
      <alignment horizontal="center" vertical="center"/>
    </xf>
    <xf numFmtId="0" fontId="26" fillId="0" borderId="13" xfId="5" applyFont="1" applyBorder="1" applyProtection="1"/>
    <xf numFmtId="0" fontId="3" fillId="0" borderId="11" xfId="5" applyBorder="1" applyProtection="1"/>
    <xf numFmtId="0" fontId="3" fillId="0" borderId="1" xfId="5" applyBorder="1"/>
    <xf numFmtId="0" fontId="3" fillId="0" borderId="1" xfId="5" applyBorder="1" applyProtection="1"/>
    <xf numFmtId="0" fontId="3" fillId="0" borderId="0" xfId="5" applyAlignment="1">
      <alignment vertical="center"/>
    </xf>
    <xf numFmtId="0" fontId="3" fillId="0" borderId="2" xfId="5" applyBorder="1"/>
    <xf numFmtId="0" fontId="26" fillId="0" borderId="10" xfId="5" applyFont="1" applyBorder="1"/>
    <xf numFmtId="0" fontId="3" fillId="0" borderId="25" xfId="5" applyBorder="1" applyProtection="1">
      <protection locked="0"/>
    </xf>
    <xf numFmtId="0" fontId="3" fillId="0" borderId="2" xfId="5" applyBorder="1" applyProtection="1"/>
    <xf numFmtId="0" fontId="3" fillId="0" borderId="26" xfId="5" applyBorder="1"/>
    <xf numFmtId="0" fontId="3" fillId="0" borderId="27" xfId="5" applyBorder="1"/>
    <xf numFmtId="0" fontId="3" fillId="0" borderId="28" xfId="5" applyBorder="1" applyProtection="1">
      <protection locked="0"/>
    </xf>
    <xf numFmtId="0" fontId="3" fillId="0" borderId="26" xfId="5" applyBorder="1" applyProtection="1"/>
    <xf numFmtId="0" fontId="3" fillId="0" borderId="4" xfId="5" applyBorder="1" applyProtection="1"/>
    <xf numFmtId="0" fontId="27" fillId="0" borderId="13" xfId="5" applyFont="1" applyBorder="1" applyProtection="1"/>
    <xf numFmtId="0" fontId="27" fillId="0" borderId="13" xfId="5" applyFont="1" applyBorder="1"/>
    <xf numFmtId="0" fontId="26" fillId="0" borderId="11" xfId="5" applyFont="1" applyBorder="1"/>
    <xf numFmtId="0" fontId="26" fillId="0" borderId="9" xfId="5" applyFont="1" applyBorder="1" applyAlignment="1" applyProtection="1"/>
    <xf numFmtId="0" fontId="3" fillId="0" borderId="5" xfId="5" applyBorder="1" applyAlignment="1" applyProtection="1">
      <protection locked="0"/>
    </xf>
    <xf numFmtId="0" fontId="3" fillId="0" borderId="0" xfId="5" applyAlignment="1">
      <alignment vertical="top" wrapText="1"/>
    </xf>
    <xf numFmtId="0" fontId="25" fillId="10" borderId="7" xfId="5" applyFont="1" applyFill="1" applyBorder="1" applyAlignment="1">
      <alignment horizontal="center" vertical="center"/>
    </xf>
    <xf numFmtId="0" fontId="26" fillId="0" borderId="6" xfId="5" applyFont="1" applyBorder="1"/>
    <xf numFmtId="0" fontId="3" fillId="0" borderId="13" xfId="5" applyBorder="1"/>
    <xf numFmtId="0" fontId="2" fillId="0" borderId="0" xfId="5" applyFont="1" applyFill="1" applyAlignment="1">
      <alignment horizontal="right"/>
    </xf>
    <xf numFmtId="0" fontId="0" fillId="0" borderId="0" xfId="0" applyAlignment="1">
      <alignment horizontal="right"/>
    </xf>
    <xf numFmtId="0" fontId="7" fillId="0" borderId="0" xfId="0" applyFont="1" applyAlignment="1"/>
    <xf numFmtId="0" fontId="0" fillId="3" borderId="0" xfId="0" applyFill="1" applyBorder="1" applyAlignment="1">
      <alignment horizontal="right"/>
    </xf>
    <xf numFmtId="0" fontId="0" fillId="3" borderId="0" xfId="0" applyFill="1" applyBorder="1" applyAlignment="1">
      <alignment horizontal="center"/>
    </xf>
    <xf numFmtId="0" fontId="0" fillId="3" borderId="4" xfId="0" applyFill="1" applyBorder="1" applyAlignment="1" applyProtection="1">
      <protection locked="0"/>
    </xf>
    <xf numFmtId="0" fontId="0" fillId="3" borderId="8" xfId="0" applyFill="1" applyBorder="1" applyAlignment="1" applyProtection="1">
      <protection locked="0"/>
    </xf>
    <xf numFmtId="0" fontId="0" fillId="0" borderId="4" xfId="0" applyBorder="1" applyAlignment="1">
      <alignment horizontal="left"/>
    </xf>
    <xf numFmtId="0" fontId="0" fillId="0" borderId="8" xfId="0" applyBorder="1" applyAlignment="1">
      <alignment horizontal="left"/>
    </xf>
    <xf numFmtId="0" fontId="29" fillId="3" borderId="4" xfId="0" applyFont="1" applyFill="1" applyBorder="1" applyAlignment="1" applyProtection="1">
      <protection locked="0"/>
    </xf>
    <xf numFmtId="0" fontId="4" fillId="0" borderId="4" xfId="0" applyFont="1" applyBorder="1" applyAlignment="1">
      <alignment horizontal="left"/>
    </xf>
    <xf numFmtId="0" fontId="0" fillId="0" borderId="7" xfId="0" applyBorder="1"/>
    <xf numFmtId="0" fontId="0" fillId="0" borderId="9" xfId="0" applyBorder="1"/>
    <xf numFmtId="164" fontId="31" fillId="0" borderId="0" xfId="0" applyNumberFormat="1" applyFont="1"/>
    <xf numFmtId="0" fontId="0" fillId="0" borderId="0" xfId="0" applyAlignment="1">
      <alignment horizontal="right"/>
    </xf>
    <xf numFmtId="0" fontId="0" fillId="0" borderId="0" xfId="0" applyFill="1" applyBorder="1" applyAlignment="1" applyProtection="1">
      <alignment horizontal="right"/>
      <protection locked="0"/>
    </xf>
    <xf numFmtId="0" fontId="0" fillId="0" borderId="0" xfId="0" applyFill="1" applyBorder="1" applyAlignment="1">
      <alignment horizontal="right"/>
    </xf>
    <xf numFmtId="0" fontId="1" fillId="0" borderId="0" xfId="5" applyFont="1" applyBorder="1" applyProtection="1"/>
    <xf numFmtId="49" fontId="4" fillId="3" borderId="6" xfId="0" applyNumberFormat="1" applyFont="1" applyFill="1" applyBorder="1" applyAlignment="1" applyProtection="1">
      <alignment horizontal="center"/>
      <protection locked="0"/>
    </xf>
    <xf numFmtId="49" fontId="0" fillId="3" borderId="11" xfId="0" applyNumberFormat="1" applyFill="1" applyBorder="1" applyAlignment="1" applyProtection="1">
      <alignment horizontal="center"/>
      <protection locked="0"/>
    </xf>
    <xf numFmtId="49" fontId="4" fillId="3" borderId="7" xfId="0" applyNumberFormat="1" applyFont="1" applyFill="1" applyBorder="1" applyAlignment="1" applyProtection="1">
      <alignment horizontal="center"/>
      <protection locked="0"/>
    </xf>
    <xf numFmtId="49" fontId="4" fillId="3" borderId="9" xfId="0" applyNumberFormat="1" applyFont="1" applyFill="1" applyBorder="1" applyAlignment="1" applyProtection="1">
      <alignment horizontal="center"/>
      <protection locked="0"/>
    </xf>
    <xf numFmtId="0" fontId="0" fillId="3" borderId="0" xfId="0" applyFill="1" applyBorder="1" applyAlignment="1">
      <alignment horizontal="right"/>
    </xf>
    <xf numFmtId="0" fontId="0" fillId="3" borderId="7" xfId="0" applyFill="1" applyBorder="1" applyAlignment="1" applyProtection="1">
      <alignment horizontal="center"/>
      <protection locked="0"/>
    </xf>
    <xf numFmtId="0" fontId="0" fillId="3" borderId="9" xfId="0" applyFill="1" applyBorder="1" applyAlignment="1" applyProtection="1">
      <alignment horizontal="center"/>
      <protection locked="0"/>
    </xf>
    <xf numFmtId="17" fontId="0" fillId="3" borderId="7" xfId="0" applyNumberFormat="1" applyFill="1" applyBorder="1" applyAlignment="1" applyProtection="1">
      <alignment horizontal="center"/>
      <protection locked="0"/>
    </xf>
    <xf numFmtId="17" fontId="0" fillId="3" borderId="9" xfId="0" applyNumberFormat="1" applyFill="1" applyBorder="1" applyAlignment="1" applyProtection="1">
      <alignment horizontal="center"/>
      <protection locked="0"/>
    </xf>
    <xf numFmtId="0" fontId="0" fillId="9" borderId="7"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10" fillId="0" borderId="5" xfId="0" applyFont="1" applyBorder="1" applyAlignment="1">
      <alignment horizontal="center" wrapText="1"/>
    </xf>
    <xf numFmtId="0" fontId="6" fillId="0" borderId="0" xfId="0" applyFont="1" applyBorder="1" applyAlignment="1">
      <alignment horizontal="center"/>
    </xf>
    <xf numFmtId="0" fontId="7" fillId="3" borderId="0" xfId="0" applyFont="1" applyFill="1" applyBorder="1" applyAlignment="1">
      <alignment horizontal="right"/>
    </xf>
    <xf numFmtId="0" fontId="23" fillId="3" borderId="1" xfId="0" applyFont="1" applyFill="1" applyBorder="1" applyAlignment="1">
      <alignment horizontal="center"/>
    </xf>
    <xf numFmtId="0" fontId="23" fillId="3" borderId="0" xfId="0" applyFont="1" applyFill="1" applyBorder="1" applyAlignment="1">
      <alignment horizontal="center"/>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9" borderId="8" xfId="0"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0" fillId="0" borderId="8" xfId="0" applyBorder="1" applyAlignment="1" applyProtection="1">
      <alignment horizontal="left"/>
      <protection locked="0"/>
    </xf>
    <xf numFmtId="0" fontId="7" fillId="3" borderId="0" xfId="0" applyFont="1" applyFill="1" applyBorder="1" applyAlignment="1">
      <alignment horizontal="left"/>
    </xf>
    <xf numFmtId="0" fontId="9" fillId="0" borderId="0" xfId="0" applyFont="1" applyAlignment="1">
      <alignment horizontal="center" wrapText="1"/>
    </xf>
    <xf numFmtId="0" fontId="0" fillId="6" borderId="5" xfId="0" applyFill="1" applyBorder="1" applyAlignment="1" applyProtection="1">
      <alignment horizontal="center"/>
      <protection locked="0"/>
    </xf>
    <xf numFmtId="0" fontId="0" fillId="9" borderId="5" xfId="0" applyFill="1" applyBorder="1" applyAlignment="1" applyProtection="1">
      <alignment horizontal="center"/>
      <protection locked="0"/>
    </xf>
    <xf numFmtId="0" fontId="0" fillId="6" borderId="7" xfId="0" applyFill="1" applyBorder="1" applyAlignment="1" applyProtection="1">
      <alignment horizontal="center"/>
      <protection locked="0"/>
    </xf>
    <xf numFmtId="0" fontId="0" fillId="6" borderId="9" xfId="0" applyFill="1" applyBorder="1" applyAlignment="1" applyProtection="1">
      <alignment horizontal="center"/>
      <protection locked="0"/>
    </xf>
    <xf numFmtId="49" fontId="4" fillId="6" borderId="7" xfId="0" applyNumberFormat="1" applyFont="1" applyFill="1" applyBorder="1" applyAlignment="1" applyProtection="1">
      <alignment horizontal="center"/>
      <protection locked="0"/>
    </xf>
    <xf numFmtId="49" fontId="0" fillId="6" borderId="9" xfId="0" applyNumberFormat="1" applyFill="1" applyBorder="1" applyAlignment="1" applyProtection="1">
      <alignment horizontal="center"/>
      <protection locked="0"/>
    </xf>
    <xf numFmtId="0" fontId="0" fillId="3" borderId="1" xfId="0" applyFill="1" applyBorder="1" applyAlignment="1">
      <alignment horizontal="right"/>
    </xf>
    <xf numFmtId="0" fontId="0" fillId="3" borderId="2" xfId="0" applyFill="1" applyBorder="1" applyAlignment="1">
      <alignment horizontal="right"/>
    </xf>
    <xf numFmtId="0" fontId="0" fillId="6" borderId="7" xfId="0" applyFill="1" applyBorder="1" applyAlignment="1" applyProtection="1">
      <alignment horizontal="right"/>
      <protection locked="0"/>
    </xf>
    <xf numFmtId="0" fontId="0" fillId="6" borderId="9" xfId="0" applyFill="1" applyBorder="1" applyAlignment="1" applyProtection="1">
      <alignment horizontal="right"/>
      <protection locked="0"/>
    </xf>
    <xf numFmtId="0" fontId="23" fillId="0" borderId="0" xfId="0" applyFont="1" applyAlignment="1">
      <alignment horizontal="center" wrapText="1"/>
    </xf>
    <xf numFmtId="0" fontId="24" fillId="7" borderId="16" xfId="0" applyFont="1" applyFill="1" applyBorder="1" applyAlignment="1">
      <alignment horizontal="left" vertical="center"/>
    </xf>
    <xf numFmtId="0" fontId="24" fillId="7" borderId="17" xfId="0" applyFont="1" applyFill="1" applyBorder="1" applyAlignment="1">
      <alignment horizontal="left" vertical="center"/>
    </xf>
    <xf numFmtId="0" fontId="24" fillId="7" borderId="18" xfId="0" applyFont="1" applyFill="1" applyBorder="1" applyAlignment="1">
      <alignment horizontal="left" vertical="center"/>
    </xf>
    <xf numFmtId="0" fontId="24" fillId="7" borderId="19" xfId="0" applyFont="1" applyFill="1" applyBorder="1" applyAlignment="1">
      <alignment horizontal="left" vertical="center"/>
    </xf>
    <xf numFmtId="0" fontId="24" fillId="7" borderId="20" xfId="0" applyFont="1" applyFill="1" applyBorder="1" applyAlignment="1">
      <alignment horizontal="left" vertical="center"/>
    </xf>
    <xf numFmtId="0" fontId="24" fillId="7" borderId="21" xfId="0" applyFont="1" applyFill="1" applyBorder="1" applyAlignment="1">
      <alignment horizontal="left" vertical="center"/>
    </xf>
    <xf numFmtId="2" fontId="0" fillId="6" borderId="7" xfId="0" applyNumberFormat="1" applyFill="1" applyBorder="1" applyAlignment="1" applyProtection="1">
      <alignment horizontal="right"/>
      <protection locked="0"/>
    </xf>
    <xf numFmtId="2" fontId="0" fillId="6" borderId="9" xfId="0" applyNumberFormat="1" applyFill="1" applyBorder="1" applyProtection="1">
      <protection locked="0"/>
    </xf>
    <xf numFmtId="0" fontId="0" fillId="0" borderId="0" xfId="0" applyAlignment="1">
      <alignment horizontal="right"/>
    </xf>
    <xf numFmtId="0" fontId="9" fillId="0" borderId="0" xfId="0" applyFont="1" applyAlignment="1">
      <alignment horizontal="right"/>
    </xf>
    <xf numFmtId="0" fontId="0" fillId="9" borderId="5" xfId="0" applyFill="1" applyBorder="1" applyAlignment="1" applyProtection="1">
      <alignment horizontal="left"/>
      <protection locked="0"/>
    </xf>
    <xf numFmtId="0" fontId="12" fillId="9" borderId="7" xfId="0" applyFont="1" applyFill="1" applyBorder="1" applyAlignment="1" applyProtection="1">
      <alignment horizontal="right"/>
      <protection locked="0"/>
    </xf>
    <xf numFmtId="0" fontId="12" fillId="9" borderId="9" xfId="0" applyFont="1" applyFill="1" applyBorder="1" applyAlignment="1" applyProtection="1">
      <alignment horizontal="right"/>
      <protection locked="0"/>
    </xf>
    <xf numFmtId="0" fontId="5" fillId="0" borderId="6"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4" fillId="9" borderId="5" xfId="0" applyFont="1" applyFill="1" applyBorder="1" applyAlignment="1" applyProtection="1">
      <alignment horizontal="center"/>
      <protection locked="0"/>
    </xf>
    <xf numFmtId="0" fontId="7" fillId="9" borderId="5" xfId="0" applyFont="1" applyFill="1" applyBorder="1" applyAlignment="1" applyProtection="1">
      <alignment horizontal="center"/>
      <protection locked="0"/>
    </xf>
    <xf numFmtId="164" fontId="30" fillId="6" borderId="7" xfId="0" applyNumberFormat="1" applyFont="1" applyFill="1" applyBorder="1" applyAlignment="1">
      <alignment horizontal="right"/>
    </xf>
    <xf numFmtId="164" fontId="30" fillId="6" borderId="9" xfId="0" applyNumberFormat="1" applyFont="1" applyFill="1" applyBorder="1" applyAlignment="1">
      <alignment horizontal="right"/>
    </xf>
    <xf numFmtId="168" fontId="0" fillId="0" borderId="14" xfId="0" applyNumberFormat="1" applyBorder="1" applyAlignment="1">
      <alignment horizontal="center"/>
    </xf>
    <xf numFmtId="168" fontId="0" fillId="0" borderId="15" xfId="0" applyNumberFormat="1" applyBorder="1" applyAlignment="1">
      <alignment horizontal="center"/>
    </xf>
    <xf numFmtId="0" fontId="9" fillId="0" borderId="1" xfId="0" applyFont="1" applyBorder="1" applyAlignment="1">
      <alignment horizontal="center"/>
    </xf>
    <xf numFmtId="0" fontId="9" fillId="0" borderId="0" xfId="0" applyFont="1" applyBorder="1" applyAlignment="1">
      <alignment horizontal="center"/>
    </xf>
    <xf numFmtId="0" fontId="4" fillId="6" borderId="7" xfId="0" applyFont="1" applyFill="1" applyBorder="1" applyAlignment="1" applyProtection="1">
      <alignment horizontal="center"/>
      <protection locked="0"/>
    </xf>
    <xf numFmtId="4" fontId="0" fillId="6" borderId="7" xfId="0" applyNumberFormat="1" applyFill="1" applyBorder="1" applyAlignment="1" applyProtection="1">
      <alignment horizontal="right"/>
      <protection locked="0"/>
    </xf>
    <xf numFmtId="4" fontId="0" fillId="6" borderId="9" xfId="0" applyNumberFormat="1" applyFill="1" applyBorder="1" applyAlignment="1" applyProtection="1">
      <alignment horizontal="right"/>
      <protection locked="0"/>
    </xf>
    <xf numFmtId="0" fontId="4" fillId="0" borderId="1" xfId="0" applyFont="1" applyBorder="1" applyAlignment="1">
      <alignment horizontal="right"/>
    </xf>
    <xf numFmtId="0" fontId="4" fillId="0" borderId="2" xfId="0" applyFont="1" applyBorder="1" applyAlignment="1">
      <alignment horizontal="right"/>
    </xf>
    <xf numFmtId="0" fontId="4" fillId="9" borderId="7" xfId="0" applyFont="1" applyFill="1" applyBorder="1" applyAlignment="1" applyProtection="1">
      <alignment horizontal="left"/>
      <protection locked="0"/>
    </xf>
    <xf numFmtId="0" fontId="0" fillId="9" borderId="8" xfId="0" applyFill="1" applyBorder="1" applyAlignment="1" applyProtection="1">
      <alignment horizontal="left"/>
      <protection locked="0"/>
    </xf>
    <xf numFmtId="0" fontId="0" fillId="9" borderId="9" xfId="0" applyFill="1" applyBorder="1" applyAlignment="1" applyProtection="1">
      <alignment horizontal="left"/>
      <protection locked="0"/>
    </xf>
    <xf numFmtId="0" fontId="4" fillId="6" borderId="7" xfId="0" applyFont="1" applyFill="1" applyBorder="1" applyAlignment="1" applyProtection="1">
      <alignment horizontal="left"/>
      <protection locked="0"/>
    </xf>
    <xf numFmtId="0" fontId="0" fillId="6" borderId="8" xfId="0" applyFill="1" applyBorder="1" applyAlignment="1" applyProtection="1">
      <alignment horizontal="left"/>
      <protection locked="0"/>
    </xf>
    <xf numFmtId="0" fontId="0" fillId="6" borderId="9" xfId="0" applyFill="1" applyBorder="1" applyAlignment="1" applyProtection="1">
      <alignment horizontal="left"/>
      <protection locked="0"/>
    </xf>
    <xf numFmtId="0" fontId="0" fillId="9" borderId="7" xfId="0" applyFill="1" applyBorder="1" applyAlignment="1" applyProtection="1">
      <alignment horizontal="right"/>
      <protection locked="0"/>
    </xf>
    <xf numFmtId="0" fontId="0" fillId="9" borderId="9" xfId="0" applyFill="1" applyBorder="1" applyAlignment="1" applyProtection="1">
      <alignment horizontal="right"/>
      <protection locked="0"/>
    </xf>
    <xf numFmtId="0" fontId="0" fillId="0" borderId="1" xfId="0" applyBorder="1" applyAlignment="1">
      <alignment horizontal="right"/>
    </xf>
    <xf numFmtId="0" fontId="0" fillId="0" borderId="0" xfId="0" applyBorder="1" applyAlignment="1">
      <alignment horizontal="right"/>
    </xf>
    <xf numFmtId="0" fontId="4" fillId="9" borderId="10" xfId="0" applyFont="1" applyFill="1" applyBorder="1" applyAlignment="1" applyProtection="1">
      <alignment horizontal="left"/>
      <protection locked="0"/>
    </xf>
    <xf numFmtId="0" fontId="7" fillId="9" borderId="10" xfId="0" applyFont="1" applyFill="1" applyBorder="1" applyAlignment="1" applyProtection="1">
      <alignment horizontal="left"/>
      <protection locked="0"/>
    </xf>
    <xf numFmtId="2" fontId="0" fillId="6" borderId="7" xfId="0" applyNumberFormat="1" applyFill="1" applyBorder="1" applyAlignment="1" applyProtection="1">
      <alignment horizontal="center"/>
      <protection locked="0"/>
    </xf>
    <xf numFmtId="2" fontId="0" fillId="6" borderId="9" xfId="0" applyNumberFormat="1" applyFill="1" applyBorder="1" applyAlignment="1" applyProtection="1">
      <alignment horizontal="center"/>
      <protection locked="0"/>
    </xf>
    <xf numFmtId="0" fontId="22" fillId="0" borderId="0" xfId="0" applyFont="1" applyAlignment="1">
      <alignment horizontal="center"/>
    </xf>
    <xf numFmtId="1" fontId="0" fillId="6" borderId="5" xfId="0" quotePrefix="1" applyNumberFormat="1" applyFill="1" applyBorder="1" applyAlignment="1" applyProtection="1">
      <alignment horizontal="center"/>
      <protection locked="0"/>
    </xf>
    <xf numFmtId="1" fontId="0" fillId="6" borderId="5" xfId="0" applyNumberFormat="1" applyFill="1" applyBorder="1" applyAlignment="1" applyProtection="1">
      <alignment horizontal="center"/>
      <protection locked="0"/>
    </xf>
    <xf numFmtId="167" fontId="0" fillId="6" borderId="5" xfId="0" quotePrefix="1" applyNumberFormat="1" applyFill="1" applyBorder="1" applyAlignment="1" applyProtection="1">
      <alignment horizontal="center"/>
      <protection locked="0"/>
    </xf>
    <xf numFmtId="167" fontId="0" fillId="6" borderId="5" xfId="0" applyNumberFormat="1" applyFill="1" applyBorder="1" applyAlignment="1" applyProtection="1">
      <alignment horizontal="center"/>
      <protection locked="0"/>
    </xf>
    <xf numFmtId="0" fontId="0" fillId="3" borderId="0" xfId="0" applyFill="1" applyBorder="1" applyAlignment="1">
      <alignment horizontal="center"/>
    </xf>
    <xf numFmtId="0" fontId="4" fillId="6" borderId="7" xfId="2" applyFont="1" applyFill="1" applyBorder="1" applyAlignment="1" applyProtection="1">
      <alignment horizontal="center"/>
      <protection locked="0"/>
    </xf>
    <xf numFmtId="0" fontId="4" fillId="6" borderId="9" xfId="0" applyFont="1" applyFill="1" applyBorder="1" applyAlignment="1" applyProtection="1">
      <alignment horizontal="center"/>
      <protection locked="0"/>
    </xf>
    <xf numFmtId="0" fontId="7" fillId="3" borderId="0" xfId="0" applyFont="1" applyFill="1" applyAlignment="1">
      <alignment horizontal="left"/>
    </xf>
    <xf numFmtId="0" fontId="7" fillId="3" borderId="0" xfId="0" applyFont="1" applyFill="1" applyBorder="1" applyAlignment="1">
      <alignment horizontal="center"/>
    </xf>
    <xf numFmtId="0" fontId="7" fillId="3" borderId="8" xfId="0" applyFont="1"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0" borderId="4" xfId="0" applyBorder="1" applyAlignment="1" applyProtection="1">
      <protection locked="0"/>
    </xf>
    <xf numFmtId="0" fontId="6" fillId="3" borderId="0" xfId="0" applyFont="1" applyFill="1" applyBorder="1" applyAlignment="1">
      <alignment horizontal="left"/>
    </xf>
    <xf numFmtId="0" fontId="9" fillId="3" borderId="0" xfId="0" applyFont="1" applyFill="1" applyBorder="1" applyAlignment="1">
      <alignment horizontal="left"/>
    </xf>
    <xf numFmtId="0" fontId="7" fillId="3" borderId="4" xfId="0" applyFont="1" applyFill="1" applyBorder="1" applyAlignment="1" applyProtection="1">
      <alignment horizontal="left"/>
      <protection locked="0"/>
    </xf>
    <xf numFmtId="0" fontId="9" fillId="3" borderId="0" xfId="0" applyFont="1" applyFill="1" applyBorder="1" applyAlignment="1">
      <alignment horizontal="right"/>
    </xf>
    <xf numFmtId="0" fontId="14" fillId="3" borderId="0" xfId="0" applyFont="1" applyFill="1" applyAlignment="1">
      <alignment horizontal="center" vertical="center"/>
    </xf>
    <xf numFmtId="0" fontId="0" fillId="3" borderId="5" xfId="0" applyFill="1" applyBorder="1" applyAlignment="1" applyProtection="1">
      <alignment horizontal="center"/>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6" fillId="0" borderId="0" xfId="0" applyFont="1" applyBorder="1" applyAlignment="1">
      <alignment horizontal="left"/>
    </xf>
    <xf numFmtId="0" fontId="6" fillId="3" borderId="4" xfId="0" applyFont="1" applyFill="1" applyBorder="1" applyAlignment="1">
      <alignment horizontal="left" wrapText="1"/>
    </xf>
    <xf numFmtId="0" fontId="26" fillId="0" borderId="0" xfId="5" applyFont="1" applyAlignment="1">
      <alignment horizontal="center" vertical="center"/>
    </xf>
    <xf numFmtId="0" fontId="3" fillId="0" borderId="24" xfId="5" applyFont="1" applyBorder="1" applyAlignment="1">
      <alignment horizontal="left" vertical="center" wrapText="1"/>
    </xf>
    <xf numFmtId="0" fontId="3" fillId="0" borderId="0" xfId="5" applyFont="1" applyAlignment="1">
      <alignment horizontal="left" vertical="center" wrapText="1"/>
    </xf>
    <xf numFmtId="0" fontId="3" fillId="0" borderId="0" xfId="5" applyBorder="1" applyProtection="1">
      <protection locked="0"/>
    </xf>
    <xf numFmtId="0" fontId="3" fillId="0" borderId="2" xfId="5" applyBorder="1" applyProtection="1">
      <protection locked="0"/>
    </xf>
    <xf numFmtId="0" fontId="3" fillId="0" borderId="0" xfId="5" applyBorder="1" applyProtection="1"/>
    <xf numFmtId="0" fontId="3" fillId="0" borderId="2" xfId="5" applyBorder="1" applyProtection="1"/>
    <xf numFmtId="0" fontId="3" fillId="0" borderId="0" xfId="5" applyAlignment="1">
      <alignment horizontal="left" vertical="top" wrapText="1"/>
    </xf>
    <xf numFmtId="0" fontId="3" fillId="0" borderId="4" xfId="5" applyBorder="1" applyProtection="1"/>
    <xf numFmtId="0" fontId="3" fillId="0" borderId="27" xfId="5" applyBorder="1" applyProtection="1"/>
    <xf numFmtId="0" fontId="3" fillId="0" borderId="1" xfId="5" applyBorder="1" applyProtection="1"/>
    <xf numFmtId="0" fontId="3" fillId="0" borderId="1" xfId="5" applyFont="1" applyBorder="1" applyAlignment="1" applyProtection="1">
      <alignment horizontal="left" indent="1"/>
    </xf>
    <xf numFmtId="0" fontId="3" fillId="0" borderId="0" xfId="5" applyFont="1" applyBorder="1" applyAlignment="1" applyProtection="1">
      <alignment horizontal="left" indent="1"/>
    </xf>
    <xf numFmtId="0" fontId="3" fillId="0" borderId="2" xfId="5" applyFont="1" applyBorder="1" applyAlignment="1" applyProtection="1">
      <alignment horizontal="left" indent="1"/>
    </xf>
    <xf numFmtId="0" fontId="3" fillId="0" borderId="1" xfId="5" applyBorder="1" applyAlignment="1" applyProtection="1">
      <alignment horizontal="left" indent="1"/>
    </xf>
    <xf numFmtId="0" fontId="3" fillId="0" borderId="0" xfId="5" applyBorder="1" applyAlignment="1" applyProtection="1">
      <alignment horizontal="left" indent="1"/>
    </xf>
    <xf numFmtId="0" fontId="3" fillId="0" borderId="2" xfId="5" applyBorder="1" applyAlignment="1" applyProtection="1">
      <alignment horizontal="left" indent="1"/>
    </xf>
    <xf numFmtId="0" fontId="26" fillId="0" borderId="7" xfId="5" applyFont="1" applyBorder="1" applyAlignment="1" applyProtection="1">
      <alignment horizontal="center"/>
    </xf>
    <xf numFmtId="0" fontId="26" fillId="0" borderId="9" xfId="5" applyFont="1" applyBorder="1" applyAlignment="1" applyProtection="1">
      <alignment horizontal="center"/>
    </xf>
    <xf numFmtId="0" fontId="3" fillId="10" borderId="7" xfId="5" applyFill="1" applyBorder="1" applyProtection="1"/>
    <xf numFmtId="0" fontId="3" fillId="10" borderId="9" xfId="5" applyFill="1" applyBorder="1" applyProtection="1"/>
    <xf numFmtId="0" fontId="3" fillId="0" borderId="7" xfId="5" applyBorder="1" applyAlignment="1" applyProtection="1">
      <protection locked="0"/>
    </xf>
    <xf numFmtId="0" fontId="3" fillId="0" borderId="9" xfId="5" applyBorder="1" applyAlignment="1" applyProtection="1">
      <protection locked="0"/>
    </xf>
    <xf numFmtId="0" fontId="3" fillId="0" borderId="7" xfId="5" applyBorder="1" applyProtection="1">
      <protection locked="0"/>
    </xf>
    <xf numFmtId="0" fontId="3" fillId="0" borderId="9" xfId="5" applyBorder="1" applyProtection="1">
      <protection locked="0"/>
    </xf>
    <xf numFmtId="0" fontId="3" fillId="0" borderId="4" xfId="5" applyBorder="1" applyProtection="1">
      <protection locked="0"/>
    </xf>
    <xf numFmtId="0" fontId="3" fillId="0" borderId="27" xfId="5" applyBorder="1" applyProtection="1">
      <protection locked="0"/>
    </xf>
    <xf numFmtId="0" fontId="3" fillId="0" borderId="26" xfId="5" applyBorder="1" applyProtection="1"/>
    <xf numFmtId="0" fontId="28" fillId="0" borderId="0" xfId="6" applyAlignment="1" applyProtection="1">
      <alignment horizontal="left" vertical="top" wrapText="1"/>
      <protection locked="0"/>
    </xf>
    <xf numFmtId="0" fontId="3" fillId="0" borderId="0" xfId="5" applyAlignment="1" applyProtection="1">
      <alignment horizontal="left" vertical="top" wrapText="1"/>
      <protection locked="0"/>
    </xf>
    <xf numFmtId="0" fontId="3" fillId="0" borderId="26" xfId="5" applyBorder="1" applyProtection="1">
      <protection locked="0"/>
    </xf>
    <xf numFmtId="0" fontId="3" fillId="0" borderId="8" xfId="5" applyFont="1" applyBorder="1" applyAlignment="1">
      <alignment horizontal="left" vertical="top" wrapText="1"/>
    </xf>
    <xf numFmtId="0" fontId="3" fillId="0" borderId="9" xfId="5" applyFont="1" applyBorder="1" applyAlignment="1">
      <alignment horizontal="left" vertical="top" wrapText="1"/>
    </xf>
    <xf numFmtId="0" fontId="26" fillId="0" borderId="26" xfId="5" applyFont="1" applyBorder="1" applyProtection="1">
      <protection locked="0"/>
    </xf>
    <xf numFmtId="0" fontId="26" fillId="0" borderId="4" xfId="5" applyFont="1" applyBorder="1" applyProtection="1">
      <protection locked="0"/>
    </xf>
    <xf numFmtId="0" fontId="26" fillId="0" borderId="27" xfId="5" applyFont="1" applyBorder="1" applyProtection="1">
      <protection locked="0"/>
    </xf>
  </cellXfs>
  <cellStyles count="7">
    <cellStyle name="Comma" xfId="1" builtinId="3"/>
    <cellStyle name="Hyperlink" xfId="2" builtinId="8"/>
    <cellStyle name="Hyperlink 2" xfId="6"/>
    <cellStyle name="Normal" xfId="0" builtinId="0"/>
    <cellStyle name="Normal 2" xfId="5"/>
    <cellStyle name="Normal_WineFest 2006 Tasting Notes and Reviews Form " xfId="3"/>
    <cellStyle name="Normal_Xmas Product Application" xfId="4"/>
  </cellStyles>
  <dxfs count="2">
    <dxf>
      <font>
        <color rgb="FF9C0006"/>
      </font>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342900</xdr:colOff>
      <xdr:row>0</xdr:row>
      <xdr:rowOff>85725</xdr:rowOff>
    </xdr:from>
    <xdr:to>
      <xdr:col>8</xdr:col>
      <xdr:colOff>9525</xdr:colOff>
      <xdr:row>3</xdr:row>
      <xdr:rowOff>104775</xdr:rowOff>
    </xdr:to>
    <xdr:sp macro="" textlink="">
      <xdr:nvSpPr>
        <xdr:cNvPr id="3073" name="Text Box 1"/>
        <xdr:cNvSpPr txBox="1">
          <a:spLocks noChangeArrowheads="1"/>
        </xdr:cNvSpPr>
      </xdr:nvSpPr>
      <xdr:spPr bwMode="auto">
        <a:xfrm>
          <a:off x="3810000" y="85725"/>
          <a:ext cx="3343275" cy="5715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P.O. Box 8750, Station "A"</a:t>
          </a:r>
        </a:p>
        <a:p>
          <a:pPr algn="l" rtl="0">
            <a:defRPr sz="1000"/>
          </a:pPr>
          <a:r>
            <a:rPr lang="en-US" sz="1000" b="0" i="0" u="none" strike="noStrike" baseline="0">
              <a:solidFill>
                <a:srgbClr val="000000"/>
              </a:solidFill>
              <a:latin typeface="Arial"/>
              <a:cs typeface="Arial"/>
            </a:rPr>
            <a:t>90 Kenmount Road, St. John's, NF Canada A1B 3V1</a:t>
          </a:r>
        </a:p>
        <a:p>
          <a:pPr algn="l" rtl="0">
            <a:defRPr sz="1000"/>
          </a:pPr>
          <a:r>
            <a:rPr lang="en-US" sz="1000" b="0" i="0" u="none" strike="noStrike" baseline="0">
              <a:solidFill>
                <a:srgbClr val="000000"/>
              </a:solidFill>
              <a:latin typeface="Arial"/>
              <a:cs typeface="Arial"/>
            </a:rPr>
            <a:t>Tel: (709) 724-1100  Fax: (709) 724-2250</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twoCellAnchor editAs="oneCell">
    <xdr:from>
      <xdr:col>0</xdr:col>
      <xdr:colOff>66675</xdr:colOff>
      <xdr:row>0</xdr:row>
      <xdr:rowOff>66675</xdr:rowOff>
    </xdr:from>
    <xdr:to>
      <xdr:col>2</xdr:col>
      <xdr:colOff>552450</xdr:colOff>
      <xdr:row>3</xdr:row>
      <xdr:rowOff>9525</xdr:rowOff>
    </xdr:to>
    <xdr:pic>
      <xdr:nvPicPr>
        <xdr:cNvPr id="1553" name="Picture 23" descr="NLC Corporate Logo - 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2286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133350</xdr:rowOff>
    </xdr:from>
    <xdr:to>
      <xdr:col>15</xdr:col>
      <xdr:colOff>161925</xdr:colOff>
      <xdr:row>37</xdr:row>
      <xdr:rowOff>104775</xdr:rowOff>
    </xdr:to>
    <xdr:sp macro="" textlink="">
      <xdr:nvSpPr>
        <xdr:cNvPr id="2" name="TextBox 1"/>
        <xdr:cNvSpPr txBox="1"/>
      </xdr:nvSpPr>
      <xdr:spPr>
        <a:xfrm>
          <a:off x="133350" y="133350"/>
          <a:ext cx="9172575" cy="7019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u="sng">
              <a:solidFill>
                <a:schemeClr val="dk1"/>
              </a:solidFill>
              <a:latin typeface="+mn-lt"/>
              <a:ea typeface="+mn-ea"/>
              <a:cs typeface="+mn-cs"/>
            </a:rPr>
            <a:t>Types of Organic</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Certified Organic</a:t>
          </a:r>
          <a:r>
            <a:rPr lang="en-US" sz="1100">
              <a:solidFill>
                <a:schemeClr val="dk1"/>
              </a:solidFill>
              <a:latin typeface="+mn-lt"/>
              <a:ea typeface="+mn-ea"/>
              <a:cs typeface="+mn-cs"/>
            </a:rPr>
            <a:t> – This is when organic practices are used in the vineyard, at the winery and throughout all aspects of the wine-making process with little or no manipulation of wines by reverse osmosis, excessive filtration, or flavor additives (such as oak chips).  These wines can NOT contain ADDED sulfites [the maximum allowable levels of free sulfite (FSO</a:t>
          </a:r>
          <a:r>
            <a:rPr lang="en-US" sz="1100" baseline="-25000">
              <a:solidFill>
                <a:schemeClr val="dk1"/>
              </a:solidFill>
              <a:latin typeface="+mn-lt"/>
              <a:ea typeface="+mn-ea"/>
              <a:cs typeface="+mn-cs"/>
            </a:rPr>
            <a:t>2</a:t>
          </a:r>
          <a:r>
            <a:rPr lang="en-US" sz="1100">
              <a:solidFill>
                <a:schemeClr val="dk1"/>
              </a:solidFill>
              <a:latin typeface="+mn-lt"/>
              <a:ea typeface="+mn-ea"/>
              <a:cs typeface="+mn-cs"/>
            </a:rPr>
            <a:t>) and total sulfite (TSO</a:t>
          </a:r>
          <a:r>
            <a:rPr lang="en-US" sz="1100" baseline="-25000">
              <a:solidFill>
                <a:schemeClr val="dk1"/>
              </a:solidFill>
              <a:latin typeface="+mn-lt"/>
              <a:ea typeface="+mn-ea"/>
              <a:cs typeface="+mn-cs"/>
            </a:rPr>
            <a:t>2</a:t>
          </a:r>
          <a:r>
            <a:rPr lang="en-US" sz="1100">
              <a:solidFill>
                <a:schemeClr val="dk1"/>
              </a:solidFill>
              <a:latin typeface="+mn-lt"/>
              <a:ea typeface="+mn-ea"/>
              <a:cs typeface="+mn-cs"/>
            </a:rPr>
            <a:t>) permitted in organic wine are 30mg/L and 100 mg/L, respectively]</a:t>
          </a:r>
          <a:r>
            <a:rPr lang="en-US" sz="1100" baseline="30000">
              <a:solidFill>
                <a:schemeClr val="dk1"/>
              </a:solidFill>
              <a:latin typeface="+mn-lt"/>
              <a:ea typeface="+mn-ea"/>
              <a:cs typeface="+mn-cs"/>
            </a:rPr>
            <a:t>*LCBO</a:t>
          </a:r>
          <a:r>
            <a:rPr lang="en-US" sz="1100">
              <a:solidFill>
                <a:schemeClr val="dk1"/>
              </a:solidFill>
              <a:latin typeface="+mn-lt"/>
              <a:ea typeface="+mn-ea"/>
              <a:cs typeface="+mn-cs"/>
            </a:rPr>
            <a:t>. A certificate of authenticity is required for this classification and for the product to be labeled as such.</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Organically Grown Grapes</a:t>
          </a:r>
          <a:r>
            <a:rPr lang="en-US" sz="1100">
              <a:solidFill>
                <a:schemeClr val="dk1"/>
              </a:solidFill>
              <a:latin typeface="+mn-lt"/>
              <a:ea typeface="+mn-ea"/>
              <a:cs typeface="+mn-cs"/>
            </a:rPr>
            <a:t> – This is when organic practices are only used in the vineyard (i.e. Absence of herbicides, pesticides and synthetic and chemical fertilizers). These wines CAN have some added sulfites. A certificate of authenticity is required for this classification and for the product to be labeled as such.</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Biodynamic</a:t>
          </a:r>
          <a:r>
            <a:rPr lang="en-US" sz="1100">
              <a:solidFill>
                <a:schemeClr val="dk1"/>
              </a:solidFill>
              <a:latin typeface="+mn-lt"/>
              <a:ea typeface="+mn-ea"/>
              <a:cs typeface="+mn-cs"/>
            </a:rPr>
            <a:t> – The biodynamic approach of growing grapes treats the soil as a living organism and focuses on balancing the entire vineyard and winery environment with the world at large. Wineries that adhere to the rigorous tenants of biodynamics can attain the gold standard of certification from </a:t>
          </a:r>
          <a:r>
            <a:rPr lang="en-US" sz="1100" b="1" u="sng">
              <a:solidFill>
                <a:schemeClr val="dk1"/>
              </a:solidFill>
              <a:latin typeface="+mn-lt"/>
              <a:ea typeface="+mn-ea"/>
              <a:cs typeface="+mn-cs"/>
            </a:rPr>
            <a:t>Demeter</a:t>
          </a:r>
          <a:r>
            <a:rPr lang="en-US" sz="1100">
              <a:solidFill>
                <a:schemeClr val="dk1"/>
              </a:solidFill>
              <a:latin typeface="+mn-lt"/>
              <a:ea typeface="+mn-ea"/>
              <a:cs typeface="+mn-cs"/>
            </a:rPr>
            <a:t>.</a:t>
          </a:r>
        </a:p>
        <a:p>
          <a:r>
            <a:rPr lang="en-US" sz="1100">
              <a:solidFill>
                <a:schemeClr val="dk1"/>
              </a:solidFill>
              <a:latin typeface="+mn-lt"/>
              <a:ea typeface="+mn-ea"/>
              <a:cs typeface="+mn-cs"/>
            </a:rPr>
            <a:t> </a:t>
          </a:r>
        </a:p>
        <a:p>
          <a:r>
            <a:rPr lang="en-US" sz="1100" b="1" i="1">
              <a:solidFill>
                <a:schemeClr val="dk1"/>
              </a:solidFill>
              <a:latin typeface="+mn-lt"/>
              <a:ea typeface="+mn-ea"/>
              <a:cs typeface="+mn-cs"/>
            </a:rPr>
            <a:t>When the Label Says Demeter, Demeter is what you get</a:t>
          </a:r>
          <a:endParaRPr lang="en-US" sz="1100">
            <a:solidFill>
              <a:schemeClr val="dk1"/>
            </a:solidFill>
            <a:latin typeface="+mn-lt"/>
            <a:ea typeface="+mn-ea"/>
            <a:cs typeface="+mn-cs"/>
          </a:endParaRPr>
        </a:p>
        <a:p>
          <a:r>
            <a:rPr lang="en-US" sz="1100">
              <a:solidFill>
                <a:schemeClr val="dk1"/>
              </a:solidFill>
              <a:latin typeface="+mn-lt"/>
              <a:ea typeface="+mn-ea"/>
              <a:cs typeface="+mn-cs"/>
            </a:rPr>
            <a:t>Demeter is the brand for products from Biodynamic Agriculture. Only strictly controlled and contractually bound partners are permitted to use the Brand. A comprehensive verification process insures strict compliance with the International Demeter Production and Processing Standards, as well as applicable organic regulations in the various countries; without a gap, through every step, from agricultural production to processing and final product packaging. Yet, the holistic Demeter requirements exceed government mandated regulations. Not only do they exclude the use of synthetic fertilizers and chemical plant protection agents in agricultural crop production, or artificial additives during processing, but also require very specific measures to strengthen the life processes in soil and foodstuffs. </a:t>
          </a:r>
        </a:p>
        <a:p>
          <a:r>
            <a:rPr lang="en-US" sz="1100">
              <a:solidFill>
                <a:schemeClr val="dk1"/>
              </a:solidFill>
              <a:latin typeface="+mn-lt"/>
              <a:ea typeface="+mn-ea"/>
              <a:cs typeface="+mn-cs"/>
            </a:rPr>
            <a:t> </a:t>
          </a:r>
        </a:p>
        <a:p>
          <a:r>
            <a:rPr lang="en-US" sz="1100" b="1">
              <a:solidFill>
                <a:schemeClr val="dk1"/>
              </a:solidFill>
              <a:latin typeface="+mn-lt"/>
              <a:ea typeface="+mn-ea"/>
              <a:cs typeface="+mn-cs"/>
            </a:rPr>
            <a:t>In Canada, to be certified organic, a wine must be declared so by a certifying body. (The wine can only be labeled “Organic” or “Organically grown” if certified by one of these bodies).</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u="sng">
              <a:solidFill>
                <a:schemeClr val="dk1"/>
              </a:solidFill>
              <a:latin typeface="+mn-lt"/>
              <a:ea typeface="+mn-ea"/>
              <a:cs typeface="+mn-cs"/>
            </a:rPr>
            <a:t>The main certifying bodies are: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SCC</a:t>
          </a:r>
          <a:r>
            <a:rPr lang="en-US" sz="1100" b="1">
              <a:solidFill>
                <a:schemeClr val="dk1"/>
              </a:solidFill>
              <a:latin typeface="+mn-lt"/>
              <a:ea typeface="+mn-ea"/>
              <a:cs typeface="+mn-cs"/>
            </a:rPr>
            <a:t> </a:t>
          </a:r>
          <a:r>
            <a:rPr lang="en-US" sz="1100">
              <a:solidFill>
                <a:schemeClr val="dk1"/>
              </a:solidFill>
              <a:latin typeface="+mn-lt"/>
              <a:ea typeface="+mn-ea"/>
              <a:cs typeface="+mn-cs"/>
            </a:rPr>
            <a:t>- Standards Council of Canada</a:t>
          </a:r>
        </a:p>
        <a:p>
          <a:r>
            <a:rPr lang="en-US" sz="1100" b="1" u="sng">
              <a:solidFill>
                <a:schemeClr val="dk1"/>
              </a:solidFill>
              <a:latin typeface="+mn-lt"/>
              <a:ea typeface="+mn-ea"/>
              <a:cs typeface="+mn-cs"/>
            </a:rPr>
            <a:t>IFOAM</a:t>
          </a:r>
          <a:r>
            <a:rPr lang="en-US" sz="1100">
              <a:solidFill>
                <a:schemeClr val="dk1"/>
              </a:solidFill>
              <a:latin typeface="+mn-lt"/>
              <a:ea typeface="+mn-ea"/>
              <a:cs typeface="+mn-cs"/>
            </a:rPr>
            <a:t> - International Federation of Organic Agriculture Movements</a:t>
          </a:r>
        </a:p>
        <a:p>
          <a:r>
            <a:rPr lang="en-US" sz="1100" b="1" u="sng">
              <a:solidFill>
                <a:schemeClr val="dk1"/>
              </a:solidFill>
              <a:latin typeface="+mn-lt"/>
              <a:ea typeface="+mn-ea"/>
              <a:cs typeface="+mn-cs"/>
            </a:rPr>
            <a:t>Biofact</a:t>
          </a:r>
          <a:endParaRPr lang="en-US" sz="1100">
            <a:solidFill>
              <a:schemeClr val="dk1"/>
            </a:solidFill>
            <a:latin typeface="+mn-lt"/>
            <a:ea typeface="+mn-ea"/>
            <a:cs typeface="+mn-cs"/>
          </a:endParaRPr>
        </a:p>
        <a:p>
          <a:r>
            <a:rPr lang="en-US" sz="1100" b="1" u="sng">
              <a:solidFill>
                <a:schemeClr val="dk1"/>
              </a:solidFill>
              <a:latin typeface="+mn-lt"/>
              <a:ea typeface="+mn-ea"/>
              <a:cs typeface="+mn-cs"/>
            </a:rPr>
            <a:t>Bio-Gro</a:t>
          </a:r>
          <a:r>
            <a:rPr lang="en-US" sz="1100">
              <a:solidFill>
                <a:schemeClr val="dk1"/>
              </a:solidFill>
              <a:latin typeface="+mn-lt"/>
              <a:ea typeface="+mn-ea"/>
              <a:cs typeface="+mn-cs"/>
            </a:rPr>
            <a:t> (New Zealand)</a:t>
          </a:r>
        </a:p>
        <a:p>
          <a:r>
            <a:rPr lang="en-US" sz="1100" b="1" u="sng">
              <a:solidFill>
                <a:schemeClr val="dk1"/>
              </a:solidFill>
              <a:latin typeface="+mn-lt"/>
              <a:ea typeface="+mn-ea"/>
              <a:cs typeface="+mn-cs"/>
            </a:rPr>
            <a:t>Ecocert</a:t>
          </a:r>
          <a:r>
            <a:rPr lang="en-US" sz="1100">
              <a:solidFill>
                <a:schemeClr val="dk1"/>
              </a:solidFill>
              <a:latin typeface="+mn-lt"/>
              <a:ea typeface="+mn-ea"/>
              <a:cs typeface="+mn-cs"/>
            </a:rPr>
            <a:t> -</a:t>
          </a:r>
          <a:r>
            <a:rPr lang="en-US" sz="1100" b="1">
              <a:solidFill>
                <a:schemeClr val="dk1"/>
              </a:solidFill>
              <a:latin typeface="+mn-lt"/>
              <a:ea typeface="+mn-ea"/>
              <a:cs typeface="+mn-cs"/>
            </a:rPr>
            <a:t> </a:t>
          </a:r>
          <a:r>
            <a:rPr lang="en-US" sz="1100">
              <a:solidFill>
                <a:schemeClr val="dk1"/>
              </a:solidFill>
              <a:latin typeface="+mn-lt"/>
              <a:ea typeface="+mn-ea"/>
              <a:cs typeface="+mn-cs"/>
            </a:rPr>
            <a:t>Canadian Eco-certification</a:t>
          </a:r>
        </a:p>
        <a:p>
          <a:r>
            <a:rPr lang="en-US" sz="1100" b="1" u="sng">
              <a:solidFill>
                <a:schemeClr val="dk1"/>
              </a:solidFill>
              <a:latin typeface="+mn-lt"/>
              <a:ea typeface="+mn-ea"/>
              <a:cs typeface="+mn-cs"/>
            </a:rPr>
            <a:t>CCOF</a:t>
          </a:r>
          <a:r>
            <a:rPr lang="en-US" sz="1100">
              <a:solidFill>
                <a:schemeClr val="dk1"/>
              </a:solidFill>
              <a:latin typeface="+mn-lt"/>
              <a:ea typeface="+mn-ea"/>
              <a:cs typeface="+mn-cs"/>
            </a:rPr>
            <a:t> - California certified organic foundation</a:t>
          </a:r>
        </a:p>
        <a:p>
          <a:r>
            <a:rPr lang="en-US" sz="1100" b="1" u="sng">
              <a:solidFill>
                <a:schemeClr val="dk1"/>
              </a:solidFill>
              <a:latin typeface="+mn-lt"/>
              <a:ea typeface="+mn-ea"/>
              <a:cs typeface="+mn-cs"/>
            </a:rPr>
            <a:t>USDA</a:t>
          </a:r>
          <a:r>
            <a:rPr lang="en-US" sz="1100">
              <a:solidFill>
                <a:schemeClr val="dk1"/>
              </a:solidFill>
              <a:latin typeface="+mn-lt"/>
              <a:ea typeface="+mn-ea"/>
              <a:cs typeface="+mn-cs"/>
            </a:rPr>
            <a:t> - United States Department of Agriculture</a:t>
          </a:r>
        </a:p>
        <a:p>
          <a:r>
            <a:rPr lang="en-US" sz="1100" b="1" u="sng">
              <a:solidFill>
                <a:schemeClr val="dk1"/>
              </a:solidFill>
              <a:latin typeface="+mn-lt"/>
              <a:ea typeface="+mn-ea"/>
              <a:cs typeface="+mn-cs"/>
            </a:rPr>
            <a:t>AB</a:t>
          </a:r>
          <a:r>
            <a:rPr lang="en-US" sz="1100" b="1">
              <a:solidFill>
                <a:schemeClr val="dk1"/>
              </a:solidFill>
              <a:latin typeface="+mn-lt"/>
              <a:ea typeface="+mn-ea"/>
              <a:cs typeface="+mn-cs"/>
            </a:rPr>
            <a:t> </a:t>
          </a:r>
          <a:r>
            <a:rPr lang="en-US" sz="1100">
              <a:solidFill>
                <a:schemeClr val="dk1"/>
              </a:solidFill>
              <a:latin typeface="+mn-lt"/>
              <a:ea typeface="+mn-ea"/>
              <a:cs typeface="+mn-cs"/>
            </a:rPr>
            <a:t>- AB is a logo owned by the French state. It stands for 'Agriculture Biologique'.    Products can be labeled with this mark when they contain more than 95 percent organic components, were produced or processed within the EU, and were certified by one of the inspection bodies accredited by the State agency.</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1800225</xdr:colOff>
      <xdr:row>2</xdr:row>
      <xdr:rowOff>171450</xdr:rowOff>
    </xdr:to>
    <xdr:pic>
      <xdr:nvPicPr>
        <xdr:cNvPr id="2" name="Picture 1" descr="NLC Corporate Logo - SM"/>
        <xdr:cNvPicPr/>
      </xdr:nvPicPr>
      <xdr:blipFill>
        <a:blip xmlns:r="http://schemas.openxmlformats.org/officeDocument/2006/relationships" r:embed="rId1" cstate="print"/>
        <a:srcRect/>
        <a:stretch>
          <a:fillRect/>
        </a:stretch>
      </xdr:blipFill>
      <xdr:spPr bwMode="auto">
        <a:xfrm>
          <a:off x="609600" y="0"/>
          <a:ext cx="2552700" cy="552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LC%20Product%20Listing%20Application%20%20Fiscal%20Year%202020%20-%20May%2023,%202019%20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ce%20Model%20-%20Fiscal%20Year%202019%20-%20October%207,%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APP"/>
      <sheetName val="Tab # 2 Organic Definition"/>
      <sheetName val="Origin Declaration"/>
      <sheetName val="Currency"/>
      <sheetName val="Freight Point"/>
      <sheetName val="Country"/>
      <sheetName val="Product Type"/>
      <sheetName val="Product Class"/>
      <sheetName val="Markup"/>
      <sheetName val="Duty"/>
      <sheetName val="Bottle Deposit"/>
      <sheetName val="Listing Type"/>
    </sheetNames>
    <sheetDataSet>
      <sheetData sheetId="0"/>
      <sheetData sheetId="1"/>
      <sheetData sheetId="2"/>
      <sheetData sheetId="3"/>
      <sheetData sheetId="4"/>
      <sheetData sheetId="5"/>
      <sheetData sheetId="6"/>
      <sheetData sheetId="7"/>
      <sheetData sheetId="8">
        <row r="1">
          <cell r="A1" t="str">
            <v>Code</v>
          </cell>
          <cell r="B1" t="str">
            <v>Dollar</v>
          </cell>
          <cell r="C1" t="str">
            <v>Percentage</v>
          </cell>
          <cell r="D1" t="str">
            <v>Cost of Service</v>
          </cell>
          <cell r="E1" t="str">
            <v>Size</v>
          </cell>
          <cell r="F1" t="str">
            <v>Fixed Rate Mark-up per Litre</v>
          </cell>
          <cell r="G1" t="str">
            <v>Agent Commision Beer</v>
          </cell>
          <cell r="H1" t="str">
            <v>Minimum Retail By Policy</v>
          </cell>
        </row>
        <row r="2">
          <cell r="A2" t="str">
            <v>Spirit100</v>
          </cell>
          <cell r="B2">
            <v>1.28</v>
          </cell>
          <cell r="C2">
            <v>1</v>
          </cell>
          <cell r="E2">
            <v>100</v>
          </cell>
        </row>
        <row r="3">
          <cell r="A3" t="str">
            <v>Spirit120</v>
          </cell>
          <cell r="B3">
            <v>1.54</v>
          </cell>
          <cell r="C3">
            <v>1</v>
          </cell>
          <cell r="E3">
            <v>120</v>
          </cell>
          <cell r="H3">
            <v>3.7640000000000002</v>
          </cell>
          <cell r="I3">
            <v>5.0799999999999992</v>
          </cell>
          <cell r="J3">
            <v>6.3140000000000009</v>
          </cell>
          <cell r="K3">
            <v>7.57</v>
          </cell>
        </row>
        <row r="4">
          <cell r="A4" t="str">
            <v>Spirit150</v>
          </cell>
          <cell r="B4">
            <v>1.88</v>
          </cell>
          <cell r="C4">
            <v>1</v>
          </cell>
          <cell r="E4">
            <v>150</v>
          </cell>
          <cell r="H4">
            <v>4.5920799999999993</v>
          </cell>
          <cell r="I4">
            <v>6.1975999999999996</v>
          </cell>
          <cell r="J4">
            <v>7.7030800000000008</v>
          </cell>
          <cell r="K4">
            <v>9.2354000000000003</v>
          </cell>
        </row>
        <row r="5">
          <cell r="A5" t="str">
            <v>Spirit200</v>
          </cell>
          <cell r="B5">
            <v>2.38</v>
          </cell>
          <cell r="C5">
            <v>1</v>
          </cell>
          <cell r="E5">
            <v>200</v>
          </cell>
          <cell r="H5">
            <v>5.8216533333333329</v>
          </cell>
          <cell r="I5">
            <v>7.8570666666666646</v>
          </cell>
          <cell r="J5">
            <v>9.7656533333333329</v>
          </cell>
          <cell r="K5">
            <v>11.708266666666665</v>
          </cell>
        </row>
        <row r="6">
          <cell r="A6" t="str">
            <v>Spirit250</v>
          </cell>
          <cell r="B6">
            <v>2.87</v>
          </cell>
          <cell r="C6">
            <v>1</v>
          </cell>
          <cell r="E6">
            <v>250</v>
          </cell>
          <cell r="H6">
            <v>7.0261333333333331</v>
          </cell>
          <cell r="I6">
            <v>9.4826666666666668</v>
          </cell>
          <cell r="J6">
            <v>11.786133333333336</v>
          </cell>
          <cell r="K6">
            <v>14.130666666666668</v>
          </cell>
        </row>
        <row r="7">
          <cell r="A7" t="str">
            <v>Spirit300</v>
          </cell>
          <cell r="B7">
            <v>3.45</v>
          </cell>
          <cell r="C7">
            <v>1</v>
          </cell>
          <cell r="E7">
            <v>300</v>
          </cell>
          <cell r="H7">
            <v>8.4313599999999997</v>
          </cell>
          <cell r="I7">
            <v>11.379200000000001</v>
          </cell>
          <cell r="J7">
            <v>14.143360000000003</v>
          </cell>
          <cell r="K7">
            <v>16.956800000000001</v>
          </cell>
        </row>
        <row r="8">
          <cell r="A8" t="str">
            <v>Spirit360</v>
          </cell>
          <cell r="B8">
            <v>4.13</v>
          </cell>
          <cell r="C8">
            <v>1</v>
          </cell>
          <cell r="E8">
            <v>360</v>
          </cell>
          <cell r="H8">
            <v>10.117632</v>
          </cell>
          <cell r="I8">
            <v>13.65504</v>
          </cell>
          <cell r="J8">
            <v>16.972032000000002</v>
          </cell>
          <cell r="K8">
            <v>20.348160000000004</v>
          </cell>
        </row>
        <row r="9">
          <cell r="A9" t="str">
            <v>Spirit375</v>
          </cell>
          <cell r="B9">
            <v>4.2300000000000004</v>
          </cell>
          <cell r="C9">
            <v>1</v>
          </cell>
          <cell r="E9">
            <v>375</v>
          </cell>
          <cell r="H9">
            <v>10.351000000000001</v>
          </cell>
          <cell r="I9">
            <v>13.97</v>
          </cell>
          <cell r="J9">
            <v>17.363500000000002</v>
          </cell>
          <cell r="K9">
            <v>20.817500000000003</v>
          </cell>
        </row>
        <row r="10">
          <cell r="A10" t="str">
            <v>Spirit400</v>
          </cell>
          <cell r="B10">
            <v>4.51</v>
          </cell>
          <cell r="C10">
            <v>1</v>
          </cell>
          <cell r="E10">
            <v>400</v>
          </cell>
          <cell r="H10">
            <v>11.041066666666667</v>
          </cell>
          <cell r="I10">
            <v>14.901333333333334</v>
          </cell>
          <cell r="J10">
            <v>18.52106666666667</v>
          </cell>
          <cell r="K10">
            <v>22.205333333333336</v>
          </cell>
        </row>
        <row r="11">
          <cell r="A11" t="str">
            <v>Spirit500</v>
          </cell>
          <cell r="B11">
            <v>5.38</v>
          </cell>
          <cell r="C11">
            <v>1</v>
          </cell>
          <cell r="E11">
            <v>500</v>
          </cell>
          <cell r="H11">
            <v>13.173999999999999</v>
          </cell>
          <cell r="I11">
            <v>17.779999999999998</v>
          </cell>
          <cell r="J11">
            <v>22.099000000000004</v>
          </cell>
          <cell r="K11">
            <v>26.495000000000001</v>
          </cell>
        </row>
        <row r="12">
          <cell r="A12" t="str">
            <v>Spirit600</v>
          </cell>
          <cell r="B12">
            <v>6.15</v>
          </cell>
          <cell r="C12">
            <v>1</v>
          </cell>
          <cell r="E12">
            <v>600</v>
          </cell>
          <cell r="H12">
            <v>15.055999999999999</v>
          </cell>
          <cell r="I12">
            <v>20.319999999999997</v>
          </cell>
          <cell r="J12">
            <v>25.256000000000004</v>
          </cell>
          <cell r="K12">
            <v>30.28</v>
          </cell>
        </row>
        <row r="13">
          <cell r="A13" t="str">
            <v>Spirit700</v>
          </cell>
          <cell r="B13">
            <v>7.18</v>
          </cell>
          <cell r="C13">
            <v>1</v>
          </cell>
          <cell r="E13">
            <v>700</v>
          </cell>
          <cell r="H13">
            <v>17.565333333333331</v>
          </cell>
          <cell r="I13">
            <v>23.706666666666663</v>
          </cell>
          <cell r="J13">
            <v>29.465333333333337</v>
          </cell>
          <cell r="K13">
            <v>35.326666666666668</v>
          </cell>
        </row>
        <row r="14">
          <cell r="A14" t="str">
            <v>Spirit750</v>
          </cell>
          <cell r="B14">
            <v>7.69</v>
          </cell>
          <cell r="C14">
            <v>1</v>
          </cell>
          <cell r="E14">
            <v>750</v>
          </cell>
          <cell r="H14">
            <v>18.82</v>
          </cell>
          <cell r="I14">
            <v>25.4</v>
          </cell>
          <cell r="J14">
            <v>31.57</v>
          </cell>
          <cell r="K14">
            <v>37.85</v>
          </cell>
        </row>
        <row r="15">
          <cell r="A15" t="str">
            <v>Spirit800</v>
          </cell>
          <cell r="B15">
            <v>8.1999999999999993</v>
          </cell>
          <cell r="C15">
            <v>1</v>
          </cell>
          <cell r="E15">
            <v>800</v>
          </cell>
          <cell r="H15">
            <v>20.074666666666666</v>
          </cell>
          <cell r="I15">
            <v>27.09333333333333</v>
          </cell>
          <cell r="J15">
            <v>33.674666666666667</v>
          </cell>
          <cell r="K15">
            <v>40.373333333333335</v>
          </cell>
        </row>
        <row r="16">
          <cell r="A16" t="str">
            <v>Spirit900</v>
          </cell>
          <cell r="B16">
            <v>9.23</v>
          </cell>
          <cell r="C16">
            <v>1</v>
          </cell>
          <cell r="E16">
            <v>900</v>
          </cell>
          <cell r="H16">
            <v>22.584</v>
          </cell>
          <cell r="I16">
            <v>30.479999999999997</v>
          </cell>
          <cell r="J16">
            <v>37.884</v>
          </cell>
          <cell r="K16">
            <v>45.42</v>
          </cell>
        </row>
        <row r="17">
          <cell r="A17" t="str">
            <v>Spirit1000</v>
          </cell>
          <cell r="B17">
            <v>9.9499999999999993</v>
          </cell>
          <cell r="C17">
            <v>1</v>
          </cell>
          <cell r="E17">
            <v>1000</v>
          </cell>
          <cell r="H17">
            <v>24.34053333333333</v>
          </cell>
          <cell r="I17">
            <v>32.850666666666662</v>
          </cell>
          <cell r="J17">
            <v>40.830533333333335</v>
          </cell>
          <cell r="K17">
            <v>48.952666666666666</v>
          </cell>
        </row>
        <row r="18">
          <cell r="A18" t="str">
            <v>Spirit1125</v>
          </cell>
          <cell r="B18">
            <v>11.19</v>
          </cell>
          <cell r="C18">
            <v>1</v>
          </cell>
          <cell r="E18">
            <v>1125</v>
          </cell>
          <cell r="H18">
            <v>27.383099999999995</v>
          </cell>
          <cell r="I18">
            <v>36.956999999999994</v>
          </cell>
          <cell r="J18">
            <v>45.934350000000002</v>
          </cell>
          <cell r="K18">
            <v>55.071750000000002</v>
          </cell>
        </row>
        <row r="19">
          <cell r="A19" t="str">
            <v>Spirit1140</v>
          </cell>
          <cell r="B19">
            <v>11.34</v>
          </cell>
          <cell r="C19">
            <v>1</v>
          </cell>
          <cell r="E19">
            <v>1140</v>
          </cell>
          <cell r="H19">
            <v>27.748207999999998</v>
          </cell>
          <cell r="I19">
            <v>37.449759999999991</v>
          </cell>
          <cell r="J19">
            <v>46.546808000000006</v>
          </cell>
          <cell r="K19">
            <v>55.806039999999996</v>
          </cell>
        </row>
        <row r="20">
          <cell r="A20" t="str">
            <v>Spirit1750</v>
          </cell>
          <cell r="B20">
            <v>17.05</v>
          </cell>
          <cell r="C20">
            <v>1</v>
          </cell>
          <cell r="E20">
            <v>1750</v>
          </cell>
          <cell r="H20">
            <v>41.717666666666659</v>
          </cell>
          <cell r="I20">
            <v>56.303333333333327</v>
          </cell>
          <cell r="J20">
            <v>69.980166666666662</v>
          </cell>
          <cell r="K20">
            <v>83.900833333333324</v>
          </cell>
        </row>
        <row r="21">
          <cell r="A21" t="str">
            <v>Spirit3000</v>
          </cell>
          <cell r="B21">
            <v>29.22</v>
          </cell>
          <cell r="C21">
            <v>1</v>
          </cell>
          <cell r="E21">
            <v>3000</v>
          </cell>
          <cell r="H21">
            <v>71.515999999999991</v>
          </cell>
          <cell r="I21">
            <v>96.52</v>
          </cell>
          <cell r="J21">
            <v>119.96599999999999</v>
          </cell>
          <cell r="K21">
            <v>143.82999999999998</v>
          </cell>
        </row>
        <row r="22">
          <cell r="A22" t="str">
            <v>Wines50</v>
          </cell>
          <cell r="B22">
            <v>0.37603999999999999</v>
          </cell>
          <cell r="C22">
            <v>0.84</v>
          </cell>
          <cell r="E22">
            <v>50</v>
          </cell>
          <cell r="H22">
            <v>0.97749333333333333</v>
          </cell>
          <cell r="I22">
            <v>1.1312800000000001</v>
          </cell>
        </row>
        <row r="23">
          <cell r="A23" t="str">
            <v>Wine187</v>
          </cell>
          <cell r="B23">
            <v>1.0236379999999998</v>
          </cell>
          <cell r="C23">
            <v>0.84</v>
          </cell>
          <cell r="E23">
            <v>187</v>
          </cell>
          <cell r="H23">
            <v>2.6608853333333329</v>
          </cell>
          <cell r="I23">
            <v>3.0795159999999999</v>
          </cell>
        </row>
        <row r="24">
          <cell r="A24" t="str">
            <v>Wine200</v>
          </cell>
          <cell r="B24">
            <v>1.0947999999999998</v>
          </cell>
          <cell r="C24">
            <v>0.84</v>
          </cell>
          <cell r="E24">
            <v>200</v>
          </cell>
          <cell r="H24">
            <v>2.8458666666666659</v>
          </cell>
          <cell r="I24">
            <v>3.2936000000000001</v>
          </cell>
        </row>
        <row r="25">
          <cell r="A25" t="str">
            <v>Wine250</v>
          </cell>
          <cell r="B25">
            <v>1.3684999999999996</v>
          </cell>
          <cell r="C25">
            <v>0.84</v>
          </cell>
          <cell r="E25">
            <v>250</v>
          </cell>
          <cell r="H25">
            <v>3.5573333333333323</v>
          </cell>
          <cell r="I25">
            <v>4.117</v>
          </cell>
        </row>
        <row r="26">
          <cell r="A26" t="str">
            <v>Wine300</v>
          </cell>
          <cell r="B26">
            <v>1.58508</v>
          </cell>
          <cell r="C26">
            <v>0.84</v>
          </cell>
          <cell r="E26">
            <v>300</v>
          </cell>
          <cell r="H26">
            <v>4.1203199999999995</v>
          </cell>
          <cell r="I26">
            <v>4.7685600000000008</v>
          </cell>
        </row>
        <row r="27">
          <cell r="A27" t="str">
            <v>Wine375</v>
          </cell>
          <cell r="B27">
            <v>1.9635</v>
          </cell>
          <cell r="C27">
            <v>0.84</v>
          </cell>
          <cell r="E27">
            <v>375</v>
          </cell>
          <cell r="H27">
            <v>5.1040000000000001</v>
          </cell>
          <cell r="I27">
            <v>5.9070000000000009</v>
          </cell>
        </row>
        <row r="28">
          <cell r="A28" t="str">
            <v>Wine500</v>
          </cell>
          <cell r="B28">
            <v>2.4990000000000001</v>
          </cell>
          <cell r="C28">
            <v>0.84</v>
          </cell>
          <cell r="E28">
            <v>500</v>
          </cell>
          <cell r="H28">
            <v>6.4959999999999996</v>
          </cell>
          <cell r="I28">
            <v>7.5180000000000016</v>
          </cell>
        </row>
        <row r="29">
          <cell r="A29" t="str">
            <v>Wine600</v>
          </cell>
          <cell r="B29">
            <v>2.9273999999999991</v>
          </cell>
          <cell r="C29">
            <v>0.84</v>
          </cell>
          <cell r="E29">
            <v>600</v>
          </cell>
          <cell r="H29">
            <v>7.6095999999999977</v>
          </cell>
          <cell r="I29">
            <v>8.8068000000000008</v>
          </cell>
        </row>
        <row r="30">
          <cell r="A30" t="str">
            <v>Wine650</v>
          </cell>
          <cell r="B30">
            <v>3.171349999999999</v>
          </cell>
          <cell r="C30">
            <v>0.84</v>
          </cell>
          <cell r="E30">
            <v>650</v>
          </cell>
          <cell r="H30">
            <v>8.2437333333333314</v>
          </cell>
          <cell r="I30">
            <v>9.5406999999999993</v>
          </cell>
        </row>
        <row r="31">
          <cell r="A31" t="str">
            <v>Wine700</v>
          </cell>
          <cell r="B31">
            <v>3.3319999999999999</v>
          </cell>
          <cell r="C31">
            <v>0.84</v>
          </cell>
          <cell r="E31">
            <v>700</v>
          </cell>
          <cell r="H31">
            <v>8.6613333333333316</v>
          </cell>
          <cell r="I31">
            <v>10.024000000000001</v>
          </cell>
        </row>
        <row r="32">
          <cell r="A32" t="str">
            <v>Wine720</v>
          </cell>
          <cell r="B32">
            <v>3.4271999999999996</v>
          </cell>
          <cell r="C32">
            <v>0.84</v>
          </cell>
          <cell r="E32">
            <v>720</v>
          </cell>
          <cell r="H32">
            <v>8.9087999999999994</v>
          </cell>
          <cell r="I32">
            <v>10.310400000000001</v>
          </cell>
        </row>
        <row r="33">
          <cell r="A33" t="str">
            <v>Wine748</v>
          </cell>
          <cell r="B33">
            <v>3.5604799999999996</v>
          </cell>
          <cell r="C33">
            <v>0.84</v>
          </cell>
          <cell r="E33">
            <v>748</v>
          </cell>
          <cell r="H33">
            <v>9.2552533333333322</v>
          </cell>
          <cell r="I33">
            <v>10.711360000000001</v>
          </cell>
        </row>
        <row r="34">
          <cell r="A34" t="str">
            <v>Wine750</v>
          </cell>
          <cell r="B34">
            <v>3.57</v>
          </cell>
          <cell r="C34">
            <v>0.84</v>
          </cell>
          <cell r="E34">
            <v>750</v>
          </cell>
          <cell r="H34">
            <v>9.2799999999999994</v>
          </cell>
          <cell r="I34">
            <v>10.74</v>
          </cell>
        </row>
        <row r="35">
          <cell r="A35" t="str">
            <v>Wine1000</v>
          </cell>
          <cell r="B35">
            <v>4.6171999999999995</v>
          </cell>
          <cell r="C35">
            <v>0.84</v>
          </cell>
          <cell r="E35">
            <v>1000</v>
          </cell>
          <cell r="H35">
            <v>12.002133333333331</v>
          </cell>
          <cell r="I35">
            <v>13.890400000000001</v>
          </cell>
        </row>
        <row r="36">
          <cell r="A36" t="str">
            <v>Wine1140</v>
          </cell>
          <cell r="B36">
            <v>5.2636079999999987</v>
          </cell>
          <cell r="C36">
            <v>0.84</v>
          </cell>
          <cell r="E36">
            <v>1140</v>
          </cell>
          <cell r="H36">
            <v>13.682431999999999</v>
          </cell>
          <cell r="I36">
            <v>15.835056000000002</v>
          </cell>
        </row>
        <row r="37">
          <cell r="A37" t="str">
            <v>Wine1500</v>
          </cell>
          <cell r="B37">
            <v>6.7829999999999986</v>
          </cell>
          <cell r="C37">
            <v>0.84</v>
          </cell>
          <cell r="E37">
            <v>1500</v>
          </cell>
          <cell r="H37">
            <v>17.631999999999998</v>
          </cell>
          <cell r="I37">
            <v>20.405999999999999</v>
          </cell>
        </row>
        <row r="38">
          <cell r="A38" t="str">
            <v>Wine2000</v>
          </cell>
          <cell r="B38">
            <v>8.8536000000000001</v>
          </cell>
          <cell r="C38">
            <v>0.84</v>
          </cell>
          <cell r="E38">
            <v>2000</v>
          </cell>
          <cell r="H38">
            <v>23.014399999999998</v>
          </cell>
          <cell r="I38">
            <v>26.635200000000005</v>
          </cell>
        </row>
        <row r="39">
          <cell r="A39" t="str">
            <v>Wine2250</v>
          </cell>
          <cell r="B39">
            <v>9.9603000000000002</v>
          </cell>
          <cell r="C39">
            <v>0.84</v>
          </cell>
          <cell r="E39">
            <v>2250</v>
          </cell>
          <cell r="H39">
            <v>25.891199999999998</v>
          </cell>
          <cell r="I39">
            <v>29.964600000000004</v>
          </cell>
        </row>
        <row r="40">
          <cell r="A40" t="str">
            <v>Wine3000</v>
          </cell>
          <cell r="B40">
            <v>12.851999999999999</v>
          </cell>
          <cell r="C40">
            <v>0.84</v>
          </cell>
          <cell r="E40">
            <v>3000</v>
          </cell>
          <cell r="H40">
            <v>33.407999999999994</v>
          </cell>
          <cell r="I40">
            <v>38.664000000000009</v>
          </cell>
        </row>
        <row r="41">
          <cell r="A41" t="str">
            <v>Wine4000</v>
          </cell>
          <cell r="B41">
            <v>17.135999999999999</v>
          </cell>
          <cell r="C41">
            <v>0.84</v>
          </cell>
          <cell r="E41">
            <v>4000</v>
          </cell>
          <cell r="H41">
            <v>44.54399999999999</v>
          </cell>
          <cell r="I41">
            <v>51.552000000000007</v>
          </cell>
        </row>
        <row r="42">
          <cell r="A42" t="str">
            <v>Wine4500</v>
          </cell>
          <cell r="B42">
            <v>19.277999999999999</v>
          </cell>
          <cell r="C42">
            <v>0.84</v>
          </cell>
          <cell r="E42">
            <v>4500</v>
          </cell>
          <cell r="H42">
            <v>50.111999999999995</v>
          </cell>
          <cell r="I42">
            <v>57.996000000000009</v>
          </cell>
        </row>
        <row r="43">
          <cell r="A43" t="str">
            <v>Wine5000</v>
          </cell>
          <cell r="B43">
            <v>21.419999999999998</v>
          </cell>
          <cell r="C43">
            <v>0.84</v>
          </cell>
          <cell r="E43">
            <v>5000</v>
          </cell>
          <cell r="H43">
            <v>55.679999999999993</v>
          </cell>
          <cell r="I43">
            <v>64.440000000000012</v>
          </cell>
        </row>
        <row r="44">
          <cell r="A44" t="str">
            <v>Wine5250</v>
          </cell>
          <cell r="B44">
            <v>22.491</v>
          </cell>
          <cell r="C44">
            <v>0.84</v>
          </cell>
          <cell r="E44">
            <v>5250</v>
          </cell>
          <cell r="H44">
            <v>58.463999999999992</v>
          </cell>
          <cell r="I44">
            <v>67.662000000000006</v>
          </cell>
        </row>
        <row r="45">
          <cell r="A45" t="str">
            <v>Wine6000</v>
          </cell>
          <cell r="B45">
            <v>25.703999999999997</v>
          </cell>
          <cell r="C45">
            <v>0.84</v>
          </cell>
          <cell r="E45">
            <v>6000</v>
          </cell>
          <cell r="H45">
            <v>66.815999999999988</v>
          </cell>
          <cell r="I45">
            <v>77.328000000000017</v>
          </cell>
        </row>
        <row r="46">
          <cell r="A46" t="str">
            <v>Wine6750</v>
          </cell>
          <cell r="B46">
            <v>28.916999999999998</v>
          </cell>
          <cell r="C46">
            <v>0.84</v>
          </cell>
          <cell r="E46">
            <v>6750</v>
          </cell>
          <cell r="H46">
            <v>75.167999999999992</v>
          </cell>
          <cell r="I46">
            <v>86.994000000000014</v>
          </cell>
        </row>
        <row r="47">
          <cell r="A47" t="str">
            <v>Wine9000</v>
          </cell>
          <cell r="B47">
            <v>38.555999999999997</v>
          </cell>
          <cell r="C47">
            <v>0.84</v>
          </cell>
          <cell r="E47">
            <v>9000</v>
          </cell>
          <cell r="H47">
            <v>100.22399999999999</v>
          </cell>
          <cell r="I47">
            <v>115.99200000000002</v>
          </cell>
        </row>
        <row r="48">
          <cell r="A48" t="str">
            <v>Wine16000</v>
          </cell>
          <cell r="B48">
            <v>68.543999999999997</v>
          </cell>
          <cell r="C48">
            <v>0.84</v>
          </cell>
          <cell r="E48">
            <v>16000</v>
          </cell>
          <cell r="H48">
            <v>178.17599999999996</v>
          </cell>
          <cell r="I48">
            <v>206.20800000000003</v>
          </cell>
        </row>
        <row r="49">
          <cell r="A49" t="str">
            <v>Wine18000</v>
          </cell>
          <cell r="B49">
            <v>77.111999999999995</v>
          </cell>
          <cell r="C49">
            <v>0.84</v>
          </cell>
          <cell r="E49">
            <v>18000</v>
          </cell>
          <cell r="H49">
            <v>200.44799999999998</v>
          </cell>
          <cell r="I49">
            <v>231.98400000000004</v>
          </cell>
        </row>
        <row r="50">
          <cell r="A50" t="str">
            <v>Wine20000</v>
          </cell>
          <cell r="B50">
            <v>85.679999999999993</v>
          </cell>
          <cell r="C50">
            <v>0.84</v>
          </cell>
          <cell r="E50">
            <v>20000</v>
          </cell>
          <cell r="H50">
            <v>222.71999999999997</v>
          </cell>
          <cell r="I50">
            <v>257.76000000000005</v>
          </cell>
        </row>
        <row r="51">
          <cell r="A51" t="str">
            <v>Sparkling Wine50</v>
          </cell>
          <cell r="B51">
            <v>0.37603999999999999</v>
          </cell>
          <cell r="C51">
            <v>0.84</v>
          </cell>
          <cell r="E51">
            <v>50</v>
          </cell>
          <cell r="H51">
            <v>0.97749333333333333</v>
          </cell>
          <cell r="I51">
            <v>1.1312800000000001</v>
          </cell>
        </row>
        <row r="52">
          <cell r="A52" t="str">
            <v>Sparkling Wine187</v>
          </cell>
          <cell r="B52">
            <v>1.0236379999999998</v>
          </cell>
          <cell r="C52">
            <v>0.84</v>
          </cell>
          <cell r="E52">
            <v>187</v>
          </cell>
          <cell r="H52">
            <v>2.6608853333333329</v>
          </cell>
          <cell r="I52">
            <v>3.0795159999999999</v>
          </cell>
        </row>
        <row r="53">
          <cell r="A53" t="str">
            <v>Sparkling Wine200</v>
          </cell>
          <cell r="B53">
            <v>1.0947999999999998</v>
          </cell>
          <cell r="C53">
            <v>0.84</v>
          </cell>
          <cell r="E53">
            <v>200</v>
          </cell>
          <cell r="H53">
            <v>2.8458666666666659</v>
          </cell>
          <cell r="I53">
            <v>3.2936000000000001</v>
          </cell>
        </row>
        <row r="54">
          <cell r="A54" t="str">
            <v>Sparkling Wine250</v>
          </cell>
          <cell r="B54">
            <v>1.3684999999999996</v>
          </cell>
          <cell r="C54">
            <v>0.84</v>
          </cell>
          <cell r="E54">
            <v>250</v>
          </cell>
          <cell r="H54">
            <v>3.5573333333333323</v>
          </cell>
          <cell r="I54">
            <v>4.117</v>
          </cell>
        </row>
        <row r="55">
          <cell r="A55" t="str">
            <v>Sparkling Wine300</v>
          </cell>
          <cell r="B55">
            <v>1.58508</v>
          </cell>
          <cell r="C55">
            <v>0.84</v>
          </cell>
          <cell r="E55">
            <v>300</v>
          </cell>
          <cell r="H55">
            <v>4.1203199999999995</v>
          </cell>
          <cell r="I55">
            <v>4.7685600000000008</v>
          </cell>
        </row>
        <row r="56">
          <cell r="A56" t="str">
            <v>Sparkling Wine375</v>
          </cell>
          <cell r="B56">
            <v>1.9635</v>
          </cell>
          <cell r="C56">
            <v>0.84</v>
          </cell>
          <cell r="E56">
            <v>375</v>
          </cell>
          <cell r="H56">
            <v>5.1040000000000001</v>
          </cell>
          <cell r="I56">
            <v>5.9070000000000009</v>
          </cell>
        </row>
        <row r="57">
          <cell r="A57" t="str">
            <v>Sparkling Wine500</v>
          </cell>
          <cell r="B57">
            <v>2.4990000000000001</v>
          </cell>
          <cell r="C57">
            <v>0.84</v>
          </cell>
          <cell r="E57">
            <v>500</v>
          </cell>
          <cell r="H57">
            <v>6.4959999999999996</v>
          </cell>
          <cell r="I57">
            <v>7.5180000000000016</v>
          </cell>
        </row>
        <row r="58">
          <cell r="A58" t="str">
            <v>Sparkling Wine600</v>
          </cell>
          <cell r="B58">
            <v>2.9273999999999991</v>
          </cell>
          <cell r="C58">
            <v>0.84</v>
          </cell>
          <cell r="E58">
            <v>600</v>
          </cell>
          <cell r="H58">
            <v>7.6095999999999977</v>
          </cell>
          <cell r="I58">
            <v>8.8068000000000008</v>
          </cell>
        </row>
        <row r="59">
          <cell r="A59" t="str">
            <v>Sparkling Wine650</v>
          </cell>
          <cell r="B59">
            <v>3.171349999999999</v>
          </cell>
          <cell r="C59">
            <v>0.84</v>
          </cell>
          <cell r="E59">
            <v>650</v>
          </cell>
          <cell r="H59">
            <v>8.2437333333333314</v>
          </cell>
          <cell r="I59">
            <v>9.5406999999999993</v>
          </cell>
        </row>
        <row r="60">
          <cell r="A60" t="str">
            <v>Sparkling Wine700</v>
          </cell>
          <cell r="B60">
            <v>3.3319999999999999</v>
          </cell>
          <cell r="C60">
            <v>0.84</v>
          </cell>
          <cell r="E60">
            <v>700</v>
          </cell>
          <cell r="H60">
            <v>8.6613333333333316</v>
          </cell>
          <cell r="I60">
            <v>10.024000000000001</v>
          </cell>
        </row>
        <row r="61">
          <cell r="A61" t="str">
            <v>Sparkling Wine720</v>
          </cell>
          <cell r="B61">
            <v>3.4271999999999996</v>
          </cell>
          <cell r="C61">
            <v>0.84</v>
          </cell>
          <cell r="E61">
            <v>720</v>
          </cell>
          <cell r="H61">
            <v>8.9087999999999994</v>
          </cell>
          <cell r="I61">
            <v>10.310400000000001</v>
          </cell>
        </row>
        <row r="62">
          <cell r="A62" t="str">
            <v>Sparkling Wine748</v>
          </cell>
          <cell r="B62">
            <v>3.5604799999999996</v>
          </cell>
          <cell r="C62">
            <v>0.84</v>
          </cell>
          <cell r="E62">
            <v>748</v>
          </cell>
          <cell r="H62">
            <v>9.2552533333333322</v>
          </cell>
          <cell r="I62">
            <v>10.711360000000001</v>
          </cell>
        </row>
        <row r="63">
          <cell r="A63" t="str">
            <v>Sparkling Wine750</v>
          </cell>
          <cell r="B63">
            <v>3.57</v>
          </cell>
          <cell r="C63">
            <v>0.84</v>
          </cell>
          <cell r="E63">
            <v>750</v>
          </cell>
          <cell r="H63">
            <v>9.2799999999999994</v>
          </cell>
          <cell r="I63">
            <v>10.74</v>
          </cell>
        </row>
        <row r="64">
          <cell r="A64" t="str">
            <v>Sparkling Wine800</v>
          </cell>
          <cell r="B64">
            <v>4.6171999999999995</v>
          </cell>
          <cell r="C64">
            <v>0.84</v>
          </cell>
          <cell r="E64">
            <v>800</v>
          </cell>
          <cell r="H64">
            <v>9.8986666666666654</v>
          </cell>
          <cell r="I64">
            <v>11.456000000000001</v>
          </cell>
        </row>
        <row r="65">
          <cell r="A65" t="str">
            <v>Sparkling Wine1000</v>
          </cell>
          <cell r="B65">
            <v>4.6171999999999995</v>
          </cell>
          <cell r="C65">
            <v>0.84</v>
          </cell>
          <cell r="E65">
            <v>1000</v>
          </cell>
          <cell r="H65">
            <v>12.002133333333331</v>
          </cell>
          <cell r="I65">
            <v>13.890400000000001</v>
          </cell>
        </row>
        <row r="66">
          <cell r="A66" t="str">
            <v>Sparkling Wine1140</v>
          </cell>
          <cell r="B66">
            <v>5.2636079999999987</v>
          </cell>
          <cell r="C66">
            <v>0.84</v>
          </cell>
          <cell r="E66">
            <v>1140</v>
          </cell>
          <cell r="H66">
            <v>13.682431999999999</v>
          </cell>
          <cell r="I66">
            <v>15.835056000000002</v>
          </cell>
        </row>
        <row r="67">
          <cell r="A67" t="str">
            <v>Sparkling Wine1500</v>
          </cell>
          <cell r="B67">
            <v>6.7829999999999986</v>
          </cell>
          <cell r="C67">
            <v>0.84</v>
          </cell>
          <cell r="E67">
            <v>1500</v>
          </cell>
          <cell r="H67">
            <v>17.631999999999998</v>
          </cell>
          <cell r="I67">
            <v>20.405999999999999</v>
          </cell>
        </row>
        <row r="68">
          <cell r="A68" t="str">
            <v>Sparkling Wine2000</v>
          </cell>
          <cell r="B68">
            <v>8.8536000000000001</v>
          </cell>
          <cell r="C68">
            <v>0.84</v>
          </cell>
          <cell r="E68">
            <v>2000</v>
          </cell>
          <cell r="H68">
            <v>23.014399999999998</v>
          </cell>
          <cell r="I68">
            <v>26.635200000000005</v>
          </cell>
        </row>
        <row r="69">
          <cell r="A69" t="str">
            <v>Sparkling Wine2250</v>
          </cell>
          <cell r="B69">
            <v>9.9603000000000002</v>
          </cell>
          <cell r="C69">
            <v>0.84</v>
          </cell>
          <cell r="E69">
            <v>2250</v>
          </cell>
          <cell r="H69">
            <v>25.891199999999998</v>
          </cell>
          <cell r="I69">
            <v>29.964600000000004</v>
          </cell>
        </row>
        <row r="70">
          <cell r="A70" t="str">
            <v>Sparkling Wine3000</v>
          </cell>
          <cell r="B70">
            <v>12.851999999999999</v>
          </cell>
          <cell r="C70">
            <v>0.84</v>
          </cell>
          <cell r="E70">
            <v>3000</v>
          </cell>
          <cell r="H70">
            <v>33.407999999999994</v>
          </cell>
          <cell r="I70">
            <v>38.664000000000009</v>
          </cell>
        </row>
        <row r="71">
          <cell r="A71" t="str">
            <v>Sparkling Wine4000</v>
          </cell>
          <cell r="B71">
            <v>17.135999999999999</v>
          </cell>
          <cell r="C71">
            <v>0.84</v>
          </cell>
          <cell r="E71">
            <v>4000</v>
          </cell>
          <cell r="H71">
            <v>44.54399999999999</v>
          </cell>
          <cell r="I71">
            <v>51.552000000000007</v>
          </cell>
        </row>
        <row r="72">
          <cell r="A72" t="str">
            <v>Sparkling Wine4500</v>
          </cell>
          <cell r="B72">
            <v>19.277999999999999</v>
          </cell>
          <cell r="C72">
            <v>0.84</v>
          </cell>
          <cell r="E72">
            <v>4500</v>
          </cell>
          <cell r="H72">
            <v>50.111999999999995</v>
          </cell>
          <cell r="I72">
            <v>57.996000000000009</v>
          </cell>
        </row>
        <row r="73">
          <cell r="A73" t="str">
            <v>Sparkling Wine5000</v>
          </cell>
          <cell r="B73">
            <v>21.419999999999998</v>
          </cell>
          <cell r="C73">
            <v>0.84</v>
          </cell>
          <cell r="E73">
            <v>5000</v>
          </cell>
          <cell r="H73">
            <v>55.679999999999993</v>
          </cell>
          <cell r="I73">
            <v>64.440000000000012</v>
          </cell>
        </row>
        <row r="74">
          <cell r="A74" t="str">
            <v>Sparkling Wine6000</v>
          </cell>
          <cell r="B74">
            <v>25.703999999999997</v>
          </cell>
          <cell r="C74">
            <v>0.84</v>
          </cell>
          <cell r="E74">
            <v>6000</v>
          </cell>
          <cell r="H74">
            <v>66.815999999999988</v>
          </cell>
          <cell r="I74">
            <v>77.328000000000017</v>
          </cell>
        </row>
        <row r="75">
          <cell r="A75" t="str">
            <v>Sparkling Wine6750</v>
          </cell>
          <cell r="B75">
            <v>28.916999999999998</v>
          </cell>
          <cell r="C75">
            <v>0.84</v>
          </cell>
          <cell r="E75">
            <v>6750</v>
          </cell>
          <cell r="H75">
            <v>75.167999999999992</v>
          </cell>
          <cell r="I75">
            <v>86.994000000000014</v>
          </cell>
        </row>
        <row r="76">
          <cell r="A76" t="str">
            <v>Sparkling Wine9000</v>
          </cell>
          <cell r="B76">
            <v>38.555999999999997</v>
          </cell>
          <cell r="C76">
            <v>0.84</v>
          </cell>
          <cell r="E76">
            <v>9000</v>
          </cell>
          <cell r="H76">
            <v>100.22399999999999</v>
          </cell>
          <cell r="I76">
            <v>115.99200000000002</v>
          </cell>
        </row>
        <row r="77">
          <cell r="A77" t="str">
            <v>Sparkling Wine16000</v>
          </cell>
          <cell r="B77">
            <v>68.543999999999997</v>
          </cell>
          <cell r="C77">
            <v>0.84</v>
          </cell>
          <cell r="E77">
            <v>16000</v>
          </cell>
          <cell r="H77">
            <v>178.17599999999996</v>
          </cell>
          <cell r="I77">
            <v>206.20800000000003</v>
          </cell>
        </row>
        <row r="78">
          <cell r="A78" t="str">
            <v>Sparking Wine18000</v>
          </cell>
          <cell r="B78">
            <v>77.111999999999995</v>
          </cell>
          <cell r="C78">
            <v>0.84</v>
          </cell>
          <cell r="E78">
            <v>18000</v>
          </cell>
          <cell r="H78">
            <v>200.44799999999998</v>
          </cell>
          <cell r="I78">
            <v>231.98400000000004</v>
          </cell>
        </row>
        <row r="79">
          <cell r="A79" t="str">
            <v>Sparkling Wine20000</v>
          </cell>
          <cell r="B79">
            <v>85.679999999999993</v>
          </cell>
          <cell r="C79">
            <v>0.84</v>
          </cell>
          <cell r="E79">
            <v>20000</v>
          </cell>
          <cell r="H79">
            <v>222.71999999999997</v>
          </cell>
          <cell r="I79">
            <v>257.76000000000005</v>
          </cell>
        </row>
        <row r="80">
          <cell r="A80" t="str">
            <v>Code -389-Rodriques-750ml - 21.95 Retail</v>
          </cell>
          <cell r="B80">
            <v>6.55</v>
          </cell>
          <cell r="C80">
            <v>0</v>
          </cell>
        </row>
        <row r="81">
          <cell r="A81" t="str">
            <v>Code -390-Auk-375ml - 13.83 Retail - Based on Vendor Submission</v>
          </cell>
          <cell r="B81">
            <v>4.03</v>
          </cell>
          <cell r="C81">
            <v>0</v>
          </cell>
          <cell r="H81">
            <v>4.66</v>
          </cell>
          <cell r="I81">
            <v>5.44</v>
          </cell>
        </row>
        <row r="82">
          <cell r="A82" t="str">
            <v>Code -391-Auk-375ml - 17.83 Retail- Based on Vendor Submission</v>
          </cell>
          <cell r="B82">
            <v>5.03</v>
          </cell>
          <cell r="C82">
            <v>0</v>
          </cell>
          <cell r="H82">
            <v>4.66</v>
          </cell>
          <cell r="I82">
            <v>5.44</v>
          </cell>
        </row>
        <row r="83">
          <cell r="A83" t="str">
            <v>Code -392-Auk-750ml - 13.47 Retail- Based on Vendor Submission</v>
          </cell>
          <cell r="B83">
            <v>4.43</v>
          </cell>
          <cell r="C83">
            <v>0</v>
          </cell>
          <cell r="H83">
            <v>8.52</v>
          </cell>
          <cell r="I83">
            <v>9.9</v>
          </cell>
        </row>
        <row r="84">
          <cell r="A84" t="str">
            <v>Code -398-Auk-750ml - 13.87 Retail- Based on Vendor Submission</v>
          </cell>
          <cell r="B84">
            <v>4.53</v>
          </cell>
          <cell r="C84">
            <v>0</v>
          </cell>
          <cell r="H84">
            <v>8.52</v>
          </cell>
          <cell r="I84">
            <v>9.9</v>
          </cell>
        </row>
        <row r="85">
          <cell r="A85" t="str">
            <v>Code -393-Rodriques-375ml - 16.99 Retail - Based on Vendor Submission</v>
          </cell>
          <cell r="B85">
            <v>4.82</v>
          </cell>
          <cell r="C85">
            <v>0</v>
          </cell>
        </row>
        <row r="86">
          <cell r="A86" t="str">
            <v>Code -394-Rodriques-375ml - 12.99 Retail - Based on Vendor Submission</v>
          </cell>
          <cell r="B86">
            <v>3.81</v>
          </cell>
          <cell r="C86">
            <v>0</v>
          </cell>
        </row>
        <row r="87">
          <cell r="A87" t="str">
            <v>Code -395-Rodriques-750ml - 12.99 Retail - Based on Vendor Submission</v>
          </cell>
          <cell r="B87">
            <v>4.3099999999999996</v>
          </cell>
          <cell r="C87">
            <v>0</v>
          </cell>
        </row>
        <row r="88">
          <cell r="A88" t="str">
            <v>Code -399-Rodriques-650ml - 12.99 Retail - Based on Vendor Submission</v>
          </cell>
          <cell r="B88">
            <v>4.18</v>
          </cell>
          <cell r="C88">
            <v>0</v>
          </cell>
        </row>
        <row r="89">
          <cell r="A89" t="str">
            <v>Code -396-SAP-375ml - 19.98 Retail - Based on Vendor Submission</v>
          </cell>
          <cell r="B89">
            <v>6.57</v>
          </cell>
          <cell r="C89">
            <v>0</v>
          </cell>
        </row>
        <row r="90">
          <cell r="A90" t="str">
            <v>Code -397-Rodriques-750ml - 24.99 Retail</v>
          </cell>
          <cell r="B90">
            <v>7.32</v>
          </cell>
          <cell r="C90">
            <v>0</v>
          </cell>
        </row>
        <row r="91">
          <cell r="A91" t="str">
            <v>Cider50</v>
          </cell>
          <cell r="B91">
            <v>0.13733333333333334</v>
          </cell>
          <cell r="C91">
            <v>0.72</v>
          </cell>
          <cell r="E91">
            <v>50</v>
          </cell>
          <cell r="H91">
            <v>0.34466666666666662</v>
          </cell>
          <cell r="I91">
            <v>0.42799999999999999</v>
          </cell>
        </row>
        <row r="92">
          <cell r="A92" t="str">
            <v>Cider330</v>
          </cell>
          <cell r="B92">
            <v>0.90640000000000009</v>
          </cell>
          <cell r="C92">
            <v>0.72</v>
          </cell>
          <cell r="E92">
            <v>330</v>
          </cell>
          <cell r="H92">
            <v>2.2747999999999999</v>
          </cell>
          <cell r="I92">
            <v>2.8247999999999998</v>
          </cell>
        </row>
        <row r="93">
          <cell r="A93" t="str">
            <v>Cider341</v>
          </cell>
          <cell r="B93">
            <v>0.93661333333333341</v>
          </cell>
          <cell r="C93">
            <v>0.72</v>
          </cell>
          <cell r="E93">
            <v>341</v>
          </cell>
          <cell r="H93">
            <v>2.3506266666666664</v>
          </cell>
          <cell r="I93">
            <v>2.9189599999999998</v>
          </cell>
        </row>
        <row r="94">
          <cell r="A94" t="str">
            <v>Cider355</v>
          </cell>
          <cell r="B94">
            <v>0.97506666666666675</v>
          </cell>
          <cell r="C94">
            <v>0.72</v>
          </cell>
          <cell r="E94">
            <v>355</v>
          </cell>
          <cell r="H94">
            <v>2.4471333333333334</v>
          </cell>
          <cell r="I94">
            <v>3.0388000000000002</v>
          </cell>
        </row>
        <row r="95">
          <cell r="A95" t="str">
            <v>Cider375</v>
          </cell>
          <cell r="B95">
            <v>1.03</v>
          </cell>
          <cell r="C95">
            <v>0.72</v>
          </cell>
          <cell r="E95">
            <v>375</v>
          </cell>
          <cell r="H95">
            <v>2.585</v>
          </cell>
          <cell r="I95">
            <v>3.21</v>
          </cell>
        </row>
        <row r="96">
          <cell r="A96" t="str">
            <v>Cider440</v>
          </cell>
          <cell r="B96">
            <v>1.2085333333333335</v>
          </cell>
          <cell r="C96">
            <v>0.72</v>
          </cell>
          <cell r="E96">
            <v>440</v>
          </cell>
          <cell r="H96">
            <v>3.0330666666666666</v>
          </cell>
          <cell r="I96">
            <v>3.7664</v>
          </cell>
        </row>
        <row r="97">
          <cell r="A97" t="str">
            <v>Cider473</v>
          </cell>
          <cell r="B97">
            <v>1.2991733333333333</v>
          </cell>
          <cell r="C97">
            <v>0.72</v>
          </cell>
          <cell r="E97">
            <v>473</v>
          </cell>
          <cell r="H97">
            <v>3.2605466666666665</v>
          </cell>
          <cell r="I97">
            <v>4.0488799999999996</v>
          </cell>
        </row>
        <row r="98">
          <cell r="A98" t="str">
            <v>Cider500</v>
          </cell>
          <cell r="B98">
            <v>1.3733333333333333</v>
          </cell>
          <cell r="C98">
            <v>0.72</v>
          </cell>
          <cell r="E98">
            <v>500</v>
          </cell>
          <cell r="H98">
            <v>3.4466666666666663</v>
          </cell>
          <cell r="I98">
            <v>4.28</v>
          </cell>
        </row>
        <row r="99">
          <cell r="A99" t="str">
            <v>Cider568</v>
          </cell>
          <cell r="B99">
            <v>1.5601066666666668</v>
          </cell>
          <cell r="C99">
            <v>0.72</v>
          </cell>
          <cell r="E99">
            <v>568</v>
          </cell>
          <cell r="H99">
            <v>3.915413333333333</v>
          </cell>
          <cell r="I99">
            <v>4.8620799999999997</v>
          </cell>
        </row>
        <row r="100">
          <cell r="A100" t="str">
            <v>Cider750</v>
          </cell>
          <cell r="B100">
            <v>2.06</v>
          </cell>
          <cell r="C100">
            <v>0.72</v>
          </cell>
          <cell r="E100">
            <v>750</v>
          </cell>
          <cell r="H100">
            <v>5.17</v>
          </cell>
          <cell r="I100">
            <v>6.42</v>
          </cell>
        </row>
        <row r="101">
          <cell r="A101" t="str">
            <v>Cider1100</v>
          </cell>
          <cell r="B101">
            <v>3.0213333333333336</v>
          </cell>
          <cell r="C101">
            <v>0.72</v>
          </cell>
          <cell r="E101">
            <v>1100</v>
          </cell>
          <cell r="H101">
            <v>7.5826666666666664</v>
          </cell>
          <cell r="I101">
            <v>9.4160000000000004</v>
          </cell>
        </row>
        <row r="102">
          <cell r="A102" t="str">
            <v>Cider1320</v>
          </cell>
          <cell r="B102">
            <v>3.6256000000000004</v>
          </cell>
          <cell r="C102">
            <v>0.72</v>
          </cell>
          <cell r="E102">
            <v>1320</v>
          </cell>
          <cell r="H102">
            <v>9.0991999999999997</v>
          </cell>
          <cell r="I102">
            <v>11.299199999999999</v>
          </cell>
        </row>
        <row r="103">
          <cell r="A103" t="str">
            <v>Cider1364</v>
          </cell>
          <cell r="B103">
            <v>3.7464533333333336</v>
          </cell>
          <cell r="C103">
            <v>0.72</v>
          </cell>
          <cell r="E103">
            <v>1364</v>
          </cell>
          <cell r="H103">
            <v>9.4025066666666657</v>
          </cell>
          <cell r="I103">
            <v>11.675839999999999</v>
          </cell>
        </row>
        <row r="104">
          <cell r="A104" t="str">
            <v>Cider1420</v>
          </cell>
          <cell r="B104">
            <v>3.900266666666667</v>
          </cell>
          <cell r="C104">
            <v>0.72</v>
          </cell>
          <cell r="E104">
            <v>1420</v>
          </cell>
          <cell r="H104">
            <v>9.7885333333333335</v>
          </cell>
          <cell r="I104">
            <v>12.155200000000001</v>
          </cell>
        </row>
        <row r="105">
          <cell r="A105" t="str">
            <v>Cider1760</v>
          </cell>
          <cell r="B105">
            <v>4.8341333333333338</v>
          </cell>
          <cell r="C105">
            <v>0.72</v>
          </cell>
          <cell r="E105">
            <v>1760</v>
          </cell>
          <cell r="H105">
            <v>12.132266666666666</v>
          </cell>
          <cell r="I105">
            <v>15.0656</v>
          </cell>
        </row>
        <row r="106">
          <cell r="A106" t="str">
            <v>Cider1980</v>
          </cell>
          <cell r="B106">
            <v>5.4384000000000006</v>
          </cell>
          <cell r="C106">
            <v>0.72</v>
          </cell>
          <cell r="E106">
            <v>1980</v>
          </cell>
          <cell r="H106">
            <v>13.6488</v>
          </cell>
          <cell r="I106">
            <v>16.948799999999999</v>
          </cell>
        </row>
        <row r="107">
          <cell r="A107" t="str">
            <v>Cider2046</v>
          </cell>
          <cell r="B107">
            <v>5.6196800000000007</v>
          </cell>
          <cell r="C107">
            <v>0.72</v>
          </cell>
          <cell r="E107">
            <v>2046</v>
          </cell>
          <cell r="H107">
            <v>14.103759999999999</v>
          </cell>
          <cell r="I107">
            <v>17.513760000000001</v>
          </cell>
        </row>
        <row r="108">
          <cell r="A108" t="str">
            <v>Cider2130</v>
          </cell>
          <cell r="B108">
            <v>5.8504000000000005</v>
          </cell>
          <cell r="C108">
            <v>0.72</v>
          </cell>
          <cell r="E108">
            <v>2130</v>
          </cell>
          <cell r="H108">
            <v>14.682799999999999</v>
          </cell>
          <cell r="I108">
            <v>18.232800000000001</v>
          </cell>
        </row>
        <row r="109">
          <cell r="A109" t="str">
            <v>Cider2640</v>
          </cell>
          <cell r="B109">
            <v>7.2512000000000008</v>
          </cell>
          <cell r="C109">
            <v>0.72</v>
          </cell>
          <cell r="E109">
            <v>2640</v>
          </cell>
          <cell r="H109">
            <v>18.198399999999999</v>
          </cell>
          <cell r="I109">
            <v>22.598399999999998</v>
          </cell>
        </row>
        <row r="110">
          <cell r="A110" t="str">
            <v>Cider2838</v>
          </cell>
          <cell r="B110">
            <v>7.4052879999999996</v>
          </cell>
          <cell r="C110">
            <v>0.72</v>
          </cell>
          <cell r="E110">
            <v>2838</v>
          </cell>
          <cell r="H110">
            <v>18.585115999999999</v>
          </cell>
          <cell r="I110">
            <v>23.078616</v>
          </cell>
        </row>
        <row r="111">
          <cell r="A111" t="str">
            <v>Cider3520</v>
          </cell>
          <cell r="B111">
            <v>9.1848533333333329</v>
          </cell>
          <cell r="C111">
            <v>0.72</v>
          </cell>
          <cell r="E111">
            <v>3520</v>
          </cell>
          <cell r="H111">
            <v>23.051306666666665</v>
          </cell>
          <cell r="I111">
            <v>28.624639999999999</v>
          </cell>
        </row>
        <row r="112">
          <cell r="A112" t="str">
            <v>Cider4000</v>
          </cell>
          <cell r="B112">
            <v>9.8880000000000017</v>
          </cell>
          <cell r="C112">
            <v>0.72</v>
          </cell>
          <cell r="E112">
            <v>4000</v>
          </cell>
          <cell r="H112">
            <v>24.815999999999999</v>
          </cell>
          <cell r="I112">
            <v>30.815999999999999</v>
          </cell>
        </row>
        <row r="113">
          <cell r="A113" t="str">
            <v>Cider4260</v>
          </cell>
          <cell r="B113">
            <v>10.530720000000001</v>
          </cell>
          <cell r="C113">
            <v>0.72</v>
          </cell>
          <cell r="E113">
            <v>4260</v>
          </cell>
          <cell r="H113">
            <v>26.429039999999997</v>
          </cell>
          <cell r="I113">
            <v>32.819040000000001</v>
          </cell>
        </row>
        <row r="114">
          <cell r="A114" t="str">
            <v>Code -XXX-Ciders-1364ml - low-alc</v>
          </cell>
          <cell r="B114">
            <v>3.3718080000000001</v>
          </cell>
          <cell r="C114">
            <v>0.38</v>
          </cell>
          <cell r="E114">
            <v>1364</v>
          </cell>
          <cell r="H114">
            <v>7.83</v>
          </cell>
          <cell r="I114">
            <v>9.32</v>
          </cell>
        </row>
        <row r="115">
          <cell r="A115" t="str">
            <v>Code -XXX-Ciders-2064ml - low-alc</v>
          </cell>
          <cell r="B115">
            <v>5.1022080000000001</v>
          </cell>
          <cell r="C115">
            <v>0.38</v>
          </cell>
          <cell r="E115">
            <v>2064</v>
          </cell>
          <cell r="H115">
            <v>11.85</v>
          </cell>
          <cell r="I115">
            <v>14.1</v>
          </cell>
        </row>
        <row r="116">
          <cell r="A116" t="str">
            <v>Beer Molson/Labatt Distributed250</v>
          </cell>
          <cell r="B116">
            <v>0.27</v>
          </cell>
          <cell r="C116">
            <v>0.38</v>
          </cell>
          <cell r="E116">
            <v>250</v>
          </cell>
          <cell r="F116">
            <v>0.68899999999999995</v>
          </cell>
          <cell r="G116">
            <v>0.41099999999999998</v>
          </cell>
          <cell r="H116">
            <v>1.52</v>
          </cell>
        </row>
        <row r="117">
          <cell r="A117" t="str">
            <v>Beer Molson/Labatt Distributed330</v>
          </cell>
          <cell r="B117">
            <v>0.37</v>
          </cell>
          <cell r="C117">
            <v>0.38</v>
          </cell>
          <cell r="E117">
            <v>330</v>
          </cell>
          <cell r="F117">
            <v>0.68899999999999995</v>
          </cell>
          <cell r="G117">
            <v>0.41099999999999998</v>
          </cell>
          <cell r="H117">
            <v>2.0099999999999998</v>
          </cell>
        </row>
        <row r="118">
          <cell r="A118" t="str">
            <v>Beer Molson/Labatt Distributed355</v>
          </cell>
          <cell r="B118">
            <v>0.39</v>
          </cell>
          <cell r="C118">
            <v>0.38</v>
          </cell>
          <cell r="E118">
            <v>355</v>
          </cell>
          <cell r="F118">
            <v>0.68899999999999995</v>
          </cell>
          <cell r="G118">
            <v>0.41099999999999998</v>
          </cell>
          <cell r="H118">
            <v>2.16</v>
          </cell>
        </row>
        <row r="119">
          <cell r="A119" t="str">
            <v>Beer Molson/Labatt Distributed375</v>
          </cell>
          <cell r="B119">
            <v>0.41000000000000003</v>
          </cell>
          <cell r="C119">
            <v>0.38</v>
          </cell>
          <cell r="E119">
            <v>375</v>
          </cell>
          <cell r="F119">
            <v>0.68899999999999995</v>
          </cell>
          <cell r="G119">
            <v>0.41099999999999998</v>
          </cell>
          <cell r="H119">
            <v>2.2799999999999998</v>
          </cell>
        </row>
        <row r="120">
          <cell r="A120" t="str">
            <v>Beer Molson/Labatt Distributed440</v>
          </cell>
          <cell r="B120">
            <v>0.48</v>
          </cell>
          <cell r="C120">
            <v>0.38</v>
          </cell>
          <cell r="E120">
            <v>440</v>
          </cell>
          <cell r="F120">
            <v>0.68899999999999995</v>
          </cell>
          <cell r="G120">
            <v>0.41099999999999998</v>
          </cell>
          <cell r="H120">
            <v>2.68</v>
          </cell>
        </row>
        <row r="121">
          <cell r="A121" t="str">
            <v>Beer Molson/Labatt Distributed473</v>
          </cell>
          <cell r="B121">
            <v>0.52</v>
          </cell>
          <cell r="C121">
            <v>0.38</v>
          </cell>
          <cell r="E121">
            <v>473</v>
          </cell>
          <cell r="F121">
            <v>0.68899999999999995</v>
          </cell>
          <cell r="G121">
            <v>0.41099999999999998</v>
          </cell>
          <cell r="H121">
            <v>2.88</v>
          </cell>
        </row>
        <row r="122">
          <cell r="A122" t="str">
            <v>Beer Molson/Labatt Distributed500</v>
          </cell>
          <cell r="B122">
            <v>0.55000000000000004</v>
          </cell>
          <cell r="C122">
            <v>0.38</v>
          </cell>
          <cell r="E122">
            <v>500</v>
          </cell>
          <cell r="F122">
            <v>0.68899999999999995</v>
          </cell>
          <cell r="G122">
            <v>0.41099999999999998</v>
          </cell>
          <cell r="H122">
            <v>3.04</v>
          </cell>
        </row>
        <row r="123">
          <cell r="A123" t="str">
            <v>Beer Molson/Labatt Distributed625</v>
          </cell>
          <cell r="B123">
            <v>0.69</v>
          </cell>
          <cell r="C123">
            <v>0.38</v>
          </cell>
          <cell r="E123">
            <v>625</v>
          </cell>
          <cell r="F123">
            <v>0.68899999999999995</v>
          </cell>
          <cell r="G123">
            <v>0.41099999999999998</v>
          </cell>
          <cell r="H123">
            <v>3.8</v>
          </cell>
        </row>
        <row r="124">
          <cell r="A124" t="str">
            <v>Beer Molson/Labatt Distributed650</v>
          </cell>
          <cell r="B124">
            <v>0.72</v>
          </cell>
          <cell r="C124">
            <v>0.38</v>
          </cell>
          <cell r="E124">
            <v>650</v>
          </cell>
          <cell r="F124">
            <v>0.68899999999999995</v>
          </cell>
          <cell r="G124">
            <v>0.41099999999999998</v>
          </cell>
          <cell r="H124">
            <v>3.95</v>
          </cell>
        </row>
        <row r="125">
          <cell r="A125" t="str">
            <v>Beer Molson/Labatt Distributed660</v>
          </cell>
          <cell r="B125">
            <v>0.72</v>
          </cell>
          <cell r="C125">
            <v>0.38</v>
          </cell>
          <cell r="E125">
            <v>660</v>
          </cell>
          <cell r="F125">
            <v>0.68899999999999995</v>
          </cell>
          <cell r="G125">
            <v>0.41099999999999998</v>
          </cell>
          <cell r="H125">
            <v>4.01</v>
          </cell>
        </row>
        <row r="126">
          <cell r="A126" t="str">
            <v>Beer Molson/Labatt Distributed710</v>
          </cell>
          <cell r="B126">
            <v>0.77</v>
          </cell>
          <cell r="C126">
            <v>0.38</v>
          </cell>
          <cell r="E126">
            <v>710</v>
          </cell>
          <cell r="F126">
            <v>0.68300000000000005</v>
          </cell>
          <cell r="G126">
            <v>0.41099999999999998</v>
          </cell>
          <cell r="H126">
            <v>4.28</v>
          </cell>
        </row>
        <row r="127">
          <cell r="A127" t="str">
            <v>Beer Molson/Labatt Distributed750</v>
          </cell>
          <cell r="B127">
            <v>0.82000000000000006</v>
          </cell>
          <cell r="C127">
            <v>0.38</v>
          </cell>
          <cell r="E127">
            <v>750</v>
          </cell>
          <cell r="F127">
            <v>0.68300000000000005</v>
          </cell>
          <cell r="G127">
            <v>0.41099999999999998</v>
          </cell>
          <cell r="H127">
            <v>4.5199999999999996</v>
          </cell>
        </row>
        <row r="128">
          <cell r="A128" t="str">
            <v>Beer Molson/Labatt Distributed765</v>
          </cell>
          <cell r="B128">
            <v>0.83000000000000007</v>
          </cell>
          <cell r="C128">
            <v>0.38</v>
          </cell>
          <cell r="E128">
            <v>765</v>
          </cell>
          <cell r="F128">
            <v>0.68300000000000005</v>
          </cell>
          <cell r="G128">
            <v>0.41099999999999998</v>
          </cell>
          <cell r="H128">
            <v>4.6100000000000003</v>
          </cell>
        </row>
        <row r="129">
          <cell r="A129" t="str">
            <v>Beer Molson/Labatt Distributed944</v>
          </cell>
          <cell r="B129">
            <v>1.03</v>
          </cell>
          <cell r="C129">
            <v>0.38</v>
          </cell>
          <cell r="E129">
            <v>944</v>
          </cell>
          <cell r="F129">
            <v>0.68300000000000005</v>
          </cell>
          <cell r="G129">
            <v>0.41099999999999998</v>
          </cell>
          <cell r="H129">
            <v>5.69</v>
          </cell>
        </row>
        <row r="130">
          <cell r="A130" t="str">
            <v>Beer Molson/Labatt Distributed946</v>
          </cell>
          <cell r="B130">
            <v>1.04</v>
          </cell>
          <cell r="C130">
            <v>0.38</v>
          </cell>
          <cell r="E130">
            <v>946</v>
          </cell>
          <cell r="F130">
            <v>0.68300000000000005</v>
          </cell>
          <cell r="G130">
            <v>0.41099999999999998</v>
          </cell>
          <cell r="H130">
            <v>5.7</v>
          </cell>
        </row>
        <row r="131">
          <cell r="A131" t="str">
            <v>Beer Molson/Labatt Distributed1000</v>
          </cell>
          <cell r="B131">
            <v>1.0900000000000001</v>
          </cell>
          <cell r="C131">
            <v>0.38</v>
          </cell>
          <cell r="E131">
            <v>1000</v>
          </cell>
          <cell r="F131">
            <v>0.68300000000000005</v>
          </cell>
          <cell r="G131">
            <v>0.41099999999999998</v>
          </cell>
          <cell r="H131">
            <v>6.03</v>
          </cell>
        </row>
        <row r="132">
          <cell r="A132" t="str">
            <v>Beer Molson/Labatt Distributed1320</v>
          </cell>
          <cell r="B132">
            <v>1.44</v>
          </cell>
          <cell r="C132">
            <v>0.38</v>
          </cell>
          <cell r="E132">
            <v>1320</v>
          </cell>
          <cell r="F132">
            <v>0.68300000000000005</v>
          </cell>
          <cell r="G132">
            <v>0.41099999999999998</v>
          </cell>
          <cell r="H132">
            <v>7.96</v>
          </cell>
        </row>
        <row r="133">
          <cell r="A133" t="str">
            <v>Beer Molson/Labatt Distributed1420</v>
          </cell>
          <cell r="B133">
            <v>1.5499999999999998</v>
          </cell>
          <cell r="C133">
            <v>0.38</v>
          </cell>
          <cell r="E133">
            <v>1420</v>
          </cell>
          <cell r="F133">
            <v>0.68300000000000005</v>
          </cell>
          <cell r="G133">
            <v>0.41099999999999998</v>
          </cell>
          <cell r="H133">
            <v>8.56</v>
          </cell>
        </row>
        <row r="134">
          <cell r="A134" t="str">
            <v>Beer Molson/Labatt Distributed1500</v>
          </cell>
          <cell r="B134">
            <v>1.6400000000000001</v>
          </cell>
          <cell r="C134">
            <v>0.38</v>
          </cell>
          <cell r="E134">
            <v>1500</v>
          </cell>
          <cell r="F134">
            <v>0.68300000000000005</v>
          </cell>
          <cell r="G134">
            <v>0.41099999999999998</v>
          </cell>
          <cell r="H134">
            <v>9.0500000000000007</v>
          </cell>
        </row>
        <row r="135">
          <cell r="A135" t="str">
            <v>Beer Molson/Labatt Distributed1760</v>
          </cell>
          <cell r="B135">
            <v>1.92</v>
          </cell>
          <cell r="C135">
            <v>0.38</v>
          </cell>
          <cell r="E135">
            <v>1760</v>
          </cell>
          <cell r="F135">
            <v>0.68300000000000005</v>
          </cell>
          <cell r="G135">
            <v>0.41099999999999998</v>
          </cell>
          <cell r="H135">
            <v>10.61</v>
          </cell>
        </row>
        <row r="136">
          <cell r="A136" t="str">
            <v>Beer Molson/Labatt Distributed1775</v>
          </cell>
          <cell r="B136">
            <v>1.94</v>
          </cell>
          <cell r="C136">
            <v>0.38</v>
          </cell>
          <cell r="E136">
            <v>1775</v>
          </cell>
          <cell r="F136">
            <v>0.68300000000000005</v>
          </cell>
          <cell r="G136">
            <v>0.41099999999999998</v>
          </cell>
          <cell r="H136">
            <v>10.7</v>
          </cell>
        </row>
        <row r="137">
          <cell r="A137" t="str">
            <v>Beer Molson/Labatt Distributed1892</v>
          </cell>
          <cell r="B137">
            <v>2.0700000000000003</v>
          </cell>
          <cell r="C137">
            <v>0.38</v>
          </cell>
          <cell r="E137">
            <v>1892</v>
          </cell>
          <cell r="F137">
            <v>0.68300000000000005</v>
          </cell>
          <cell r="G137">
            <v>0.41099999999999998</v>
          </cell>
          <cell r="H137">
            <v>11.41</v>
          </cell>
        </row>
        <row r="138">
          <cell r="A138" t="str">
            <v>Beer Molson/Labatt Distributed1980</v>
          </cell>
          <cell r="B138">
            <v>2.16</v>
          </cell>
          <cell r="C138">
            <v>0.38</v>
          </cell>
          <cell r="E138">
            <v>1980</v>
          </cell>
          <cell r="F138">
            <v>0.68300000000000005</v>
          </cell>
          <cell r="G138">
            <v>0.41099999999999998</v>
          </cell>
          <cell r="H138">
            <v>11.94</v>
          </cell>
        </row>
        <row r="139">
          <cell r="A139" t="str">
            <v>Beer Molson/Labatt Distributed2000</v>
          </cell>
          <cell r="B139">
            <v>2.19</v>
          </cell>
          <cell r="C139">
            <v>0.38</v>
          </cell>
          <cell r="E139">
            <v>2000</v>
          </cell>
          <cell r="F139">
            <v>0.68300000000000005</v>
          </cell>
          <cell r="G139">
            <v>0.41099999999999998</v>
          </cell>
          <cell r="H139">
            <v>12.06</v>
          </cell>
        </row>
        <row r="140">
          <cell r="A140" t="str">
            <v>Beer Molson/Labatt Distributed2100</v>
          </cell>
          <cell r="B140">
            <v>2.29</v>
          </cell>
          <cell r="C140">
            <v>0.38</v>
          </cell>
          <cell r="E140">
            <v>2100</v>
          </cell>
          <cell r="F140">
            <v>0.68300000000000005</v>
          </cell>
          <cell r="G140">
            <v>0.41099999999999998</v>
          </cell>
          <cell r="H140">
            <v>12.66</v>
          </cell>
        </row>
        <row r="141">
          <cell r="A141" t="str">
            <v>Beer Molson/Labatt Distributed2124</v>
          </cell>
          <cell r="B141">
            <v>2.3199999999999998</v>
          </cell>
          <cell r="C141">
            <v>0.38</v>
          </cell>
          <cell r="E141">
            <v>2124</v>
          </cell>
          <cell r="F141">
            <v>0.68300000000000005</v>
          </cell>
          <cell r="G141">
            <v>0.41099999999999998</v>
          </cell>
          <cell r="H141">
            <v>12.81</v>
          </cell>
        </row>
        <row r="142">
          <cell r="A142" t="str">
            <v>Beer Molson/Labatt Distributed2130</v>
          </cell>
          <cell r="B142">
            <v>2.33</v>
          </cell>
          <cell r="C142">
            <v>0.38</v>
          </cell>
          <cell r="E142">
            <v>2130</v>
          </cell>
          <cell r="F142">
            <v>0.68300000000000005</v>
          </cell>
          <cell r="G142">
            <v>0.41099999999999998</v>
          </cell>
          <cell r="H142">
            <v>11.95</v>
          </cell>
        </row>
        <row r="143">
          <cell r="A143" t="str">
            <v>Beer Molson/Labatt Distributed2040</v>
          </cell>
          <cell r="B143">
            <v>2.23</v>
          </cell>
          <cell r="C143">
            <v>0.38</v>
          </cell>
          <cell r="E143">
            <v>2040</v>
          </cell>
          <cell r="F143">
            <v>0.68300000000000005</v>
          </cell>
          <cell r="G143">
            <v>0.41099999999999998</v>
          </cell>
          <cell r="H143">
            <v>11.44</v>
          </cell>
        </row>
        <row r="144">
          <cell r="A144" t="str">
            <v>Beer Molson/Labatt Distributed2046</v>
          </cell>
          <cell r="B144">
            <v>2.2399999999999998</v>
          </cell>
          <cell r="C144">
            <v>0.38</v>
          </cell>
          <cell r="E144">
            <v>2046</v>
          </cell>
          <cell r="F144">
            <v>0.68300000000000005</v>
          </cell>
          <cell r="G144">
            <v>0.41099999999999998</v>
          </cell>
          <cell r="H144">
            <v>11.48</v>
          </cell>
        </row>
        <row r="145">
          <cell r="A145" t="str">
            <v>Beer Molson/Labatt Distributed2076</v>
          </cell>
          <cell r="B145">
            <v>2.27</v>
          </cell>
          <cell r="C145">
            <v>0.38</v>
          </cell>
          <cell r="E145">
            <v>2076</v>
          </cell>
          <cell r="F145">
            <v>0.68300000000000005</v>
          </cell>
          <cell r="G145">
            <v>0.41099999999999998</v>
          </cell>
          <cell r="H145">
            <v>11.65</v>
          </cell>
        </row>
        <row r="146">
          <cell r="A146" t="str">
            <v>Beer Molson/Labatt Distributed2840</v>
          </cell>
          <cell r="B146">
            <v>2.9699999999999998</v>
          </cell>
          <cell r="C146">
            <v>0.38</v>
          </cell>
          <cell r="E146">
            <v>2840</v>
          </cell>
          <cell r="F146">
            <v>0.63500000000000001</v>
          </cell>
          <cell r="G146">
            <v>0.41099999999999998</v>
          </cell>
          <cell r="H146">
            <v>15.93</v>
          </cell>
        </row>
        <row r="147">
          <cell r="A147" t="str">
            <v>Beer Molson/Labatt Distributed2832</v>
          </cell>
          <cell r="B147">
            <v>2.96</v>
          </cell>
          <cell r="C147">
            <v>0.38</v>
          </cell>
          <cell r="E147">
            <v>2832</v>
          </cell>
          <cell r="F147">
            <v>0.63500000000000001</v>
          </cell>
          <cell r="G147">
            <v>0.41099999999999998</v>
          </cell>
          <cell r="H147">
            <v>15.89</v>
          </cell>
        </row>
        <row r="148">
          <cell r="A148" t="str">
            <v>Beer Molson/Labatt Distributed2838</v>
          </cell>
          <cell r="B148">
            <v>2.9699999999999998</v>
          </cell>
          <cell r="C148">
            <v>0.38</v>
          </cell>
          <cell r="E148">
            <v>2838</v>
          </cell>
          <cell r="F148">
            <v>0.63500000000000001</v>
          </cell>
          <cell r="G148">
            <v>0.41099999999999998</v>
          </cell>
          <cell r="H148">
            <v>15.92</v>
          </cell>
        </row>
        <row r="149">
          <cell r="A149" t="str">
            <v>Beer Molson/Labatt Distributed2843</v>
          </cell>
          <cell r="B149">
            <v>2.98</v>
          </cell>
          <cell r="C149">
            <v>0.38</v>
          </cell>
          <cell r="E149">
            <v>2843</v>
          </cell>
          <cell r="F149">
            <v>0.63500000000000001</v>
          </cell>
          <cell r="G149">
            <v>0.41099999999999998</v>
          </cell>
          <cell r="H149">
            <v>15.95</v>
          </cell>
        </row>
        <row r="150">
          <cell r="A150" t="str">
            <v>Beer Molson/Labatt Distributed3784</v>
          </cell>
          <cell r="B150">
            <v>3.96</v>
          </cell>
          <cell r="C150">
            <v>0.38</v>
          </cell>
          <cell r="E150">
            <v>3784</v>
          </cell>
          <cell r="F150">
            <v>0.63500000000000001</v>
          </cell>
          <cell r="G150">
            <v>0.41099999999999998</v>
          </cell>
          <cell r="H150">
            <v>21.23</v>
          </cell>
        </row>
        <row r="151">
          <cell r="A151" t="str">
            <v>Beer Molson/Labatt Distributed3960</v>
          </cell>
          <cell r="B151">
            <v>4</v>
          </cell>
          <cell r="C151">
            <v>0.38</v>
          </cell>
          <cell r="E151">
            <v>3960</v>
          </cell>
          <cell r="F151">
            <v>0.59899999999999998</v>
          </cell>
          <cell r="G151">
            <v>0.41099999999999998</v>
          </cell>
          <cell r="H151">
            <v>20.95</v>
          </cell>
        </row>
        <row r="152">
          <cell r="A152" t="str">
            <v>Beer Molson/Labatt Distributed4000</v>
          </cell>
          <cell r="B152">
            <v>4.04</v>
          </cell>
          <cell r="C152">
            <v>0.38</v>
          </cell>
          <cell r="E152">
            <v>4000</v>
          </cell>
          <cell r="F152">
            <v>0.59899999999999998</v>
          </cell>
          <cell r="G152">
            <v>0.41099999999999998</v>
          </cell>
          <cell r="H152">
            <v>21.16</v>
          </cell>
        </row>
        <row r="153">
          <cell r="A153" t="str">
            <v>Beer Molson/Labatt Distributed4092</v>
          </cell>
          <cell r="B153">
            <v>4.13</v>
          </cell>
          <cell r="C153">
            <v>0.38</v>
          </cell>
          <cell r="E153">
            <v>4092</v>
          </cell>
          <cell r="F153">
            <v>0.59899999999999998</v>
          </cell>
          <cell r="G153">
            <v>0.41099999999999998</v>
          </cell>
          <cell r="H153">
            <v>21.65</v>
          </cell>
        </row>
        <row r="154">
          <cell r="A154" t="str">
            <v>Beer Molson/Labatt Distributed4260</v>
          </cell>
          <cell r="B154">
            <v>4.3</v>
          </cell>
          <cell r="C154">
            <v>0.38</v>
          </cell>
          <cell r="E154">
            <v>4260</v>
          </cell>
          <cell r="F154">
            <v>0.59899999999999998</v>
          </cell>
          <cell r="G154">
            <v>0.41099999999999998</v>
          </cell>
          <cell r="H154">
            <v>22.54</v>
          </cell>
        </row>
        <row r="155">
          <cell r="A155" t="str">
            <v>Beer Molson/Labatt Distributed5000</v>
          </cell>
          <cell r="B155">
            <v>5.0600000000000005</v>
          </cell>
          <cell r="C155">
            <v>0.38</v>
          </cell>
          <cell r="E155">
            <v>5000</v>
          </cell>
          <cell r="F155">
            <v>0.59899999999999998</v>
          </cell>
          <cell r="G155">
            <v>0.41099999999999998</v>
          </cell>
          <cell r="H155">
            <v>26.45</v>
          </cell>
        </row>
        <row r="156">
          <cell r="A156" t="str">
            <v>Beer Molson/Labatt Distributed5115</v>
          </cell>
          <cell r="B156">
            <v>5.16</v>
          </cell>
          <cell r="C156">
            <v>0.38</v>
          </cell>
          <cell r="E156">
            <v>5115</v>
          </cell>
          <cell r="F156">
            <v>0.59899999999999998</v>
          </cell>
          <cell r="G156">
            <v>0.41099999999999998</v>
          </cell>
          <cell r="H156">
            <v>27.06</v>
          </cell>
        </row>
        <row r="157">
          <cell r="A157" t="str">
            <v>Beer Molson/Labatt Distributed5940</v>
          </cell>
          <cell r="B157">
            <v>6</v>
          </cell>
          <cell r="C157">
            <v>0.38</v>
          </cell>
          <cell r="E157">
            <v>5940</v>
          </cell>
          <cell r="F157">
            <v>0.59899999999999998</v>
          </cell>
          <cell r="G157">
            <v>0.41099999999999998</v>
          </cell>
          <cell r="H157">
            <v>31.42</v>
          </cell>
        </row>
        <row r="158">
          <cell r="A158" t="str">
            <v>Beer Molson/Labatt Distributed7920</v>
          </cell>
          <cell r="B158">
            <v>7.67</v>
          </cell>
          <cell r="C158">
            <v>0.38</v>
          </cell>
          <cell r="E158">
            <v>7920</v>
          </cell>
          <cell r="F158">
            <v>0.55700000000000005</v>
          </cell>
          <cell r="G158">
            <v>0.41099999999999998</v>
          </cell>
          <cell r="H158">
            <v>41.9</v>
          </cell>
        </row>
        <row r="159">
          <cell r="A159" t="str">
            <v>Beer Molson/Labatt Distributed20000</v>
          </cell>
          <cell r="B159">
            <v>10.78</v>
          </cell>
          <cell r="C159">
            <v>0.38</v>
          </cell>
          <cell r="E159">
            <v>20000</v>
          </cell>
          <cell r="F159">
            <v>0.53900000000000003</v>
          </cell>
          <cell r="G159">
            <v>0</v>
          </cell>
          <cell r="H159">
            <v>98.4</v>
          </cell>
        </row>
        <row r="160">
          <cell r="A160" t="str">
            <v>Beer Molson/Labatt Distributed30000</v>
          </cell>
          <cell r="B160">
            <v>16.170000000000002</v>
          </cell>
          <cell r="C160">
            <v>0.38</v>
          </cell>
          <cell r="E160">
            <v>30000</v>
          </cell>
          <cell r="F160">
            <v>0.53900000000000003</v>
          </cell>
          <cell r="G160">
            <v>0</v>
          </cell>
          <cell r="H160">
            <v>147.6</v>
          </cell>
        </row>
        <row r="161">
          <cell r="A161" t="str">
            <v>Beer Molson/Labatt Distributed50000</v>
          </cell>
          <cell r="B161">
            <v>26.95</v>
          </cell>
          <cell r="C161">
            <v>0.38</v>
          </cell>
          <cell r="E161">
            <v>50000</v>
          </cell>
          <cell r="F161">
            <v>0.53900000000000003</v>
          </cell>
          <cell r="G161">
            <v>0</v>
          </cell>
          <cell r="H161">
            <v>246</v>
          </cell>
        </row>
        <row r="162">
          <cell r="A162" t="str">
            <v>Beer Molson/Labatt Distributed58600</v>
          </cell>
          <cell r="B162">
            <v>31.59</v>
          </cell>
          <cell r="C162">
            <v>0.38</v>
          </cell>
          <cell r="E162">
            <v>58600</v>
          </cell>
          <cell r="F162">
            <v>0.53900000000000003</v>
          </cell>
          <cell r="G162">
            <v>0</v>
          </cell>
          <cell r="H162">
            <v>288.31</v>
          </cell>
        </row>
        <row r="163">
          <cell r="A163" t="str">
            <v>Beer Molson/Labatt Distributed8184</v>
          </cell>
          <cell r="B163">
            <v>7.92</v>
          </cell>
          <cell r="C163">
            <v>0.38</v>
          </cell>
          <cell r="E163">
            <v>8184</v>
          </cell>
          <cell r="F163">
            <v>0.55700000000000005</v>
          </cell>
          <cell r="G163">
            <v>0.41099999999999998</v>
          </cell>
          <cell r="H163">
            <v>40.270000000000003</v>
          </cell>
        </row>
        <row r="164">
          <cell r="A164" t="str">
            <v>Beer Molson/Labatt Distributed8520</v>
          </cell>
          <cell r="B164">
            <v>8.25</v>
          </cell>
          <cell r="C164">
            <v>0.38</v>
          </cell>
          <cell r="E164">
            <v>8520</v>
          </cell>
          <cell r="F164">
            <v>0.55700000000000005</v>
          </cell>
          <cell r="G164">
            <v>0.41099999999999998</v>
          </cell>
          <cell r="H164">
            <v>41.92</v>
          </cell>
        </row>
        <row r="165">
          <cell r="A165" t="str">
            <v>Beer Molson/Labatt Distributed Low Alcohol Beer2046</v>
          </cell>
          <cell r="B165">
            <v>1.1199999999999999</v>
          </cell>
          <cell r="C165">
            <v>0.19</v>
          </cell>
          <cell r="E165">
            <v>2046</v>
          </cell>
          <cell r="F165">
            <v>0.34200000000000003</v>
          </cell>
          <cell r="G165">
            <v>0.20599999999999999</v>
          </cell>
          <cell r="H165">
            <v>5.32</v>
          </cell>
        </row>
        <row r="166">
          <cell r="A166" t="str">
            <v>Beer Molson/Labatt Distributed Low Alcohol Beer2130</v>
          </cell>
          <cell r="B166">
            <v>1.17</v>
          </cell>
          <cell r="C166">
            <v>0.19</v>
          </cell>
          <cell r="E166">
            <v>2130</v>
          </cell>
          <cell r="F166">
            <v>0.34200000000000003</v>
          </cell>
          <cell r="G166">
            <v>0.20599999999999999</v>
          </cell>
          <cell r="H166">
            <v>5.54</v>
          </cell>
        </row>
        <row r="167">
          <cell r="A167" t="str">
            <v>Beer Molson/Labatt Distributed Low Alcohol Beer4260</v>
          </cell>
          <cell r="B167">
            <v>2.16</v>
          </cell>
          <cell r="C167">
            <v>0.19</v>
          </cell>
          <cell r="E167">
            <v>4260</v>
          </cell>
          <cell r="F167">
            <v>0.3</v>
          </cell>
          <cell r="G167">
            <v>0.20599999999999999</v>
          </cell>
          <cell r="H167">
            <v>11.12</v>
          </cell>
        </row>
        <row r="168">
          <cell r="A168" t="str">
            <v>Beer Keg20000</v>
          </cell>
          <cell r="B168">
            <v>10.78</v>
          </cell>
          <cell r="C168">
            <v>0.38</v>
          </cell>
          <cell r="E168">
            <v>20000</v>
          </cell>
          <cell r="F168">
            <v>0.53900000000000003</v>
          </cell>
          <cell r="G168">
            <v>0</v>
          </cell>
          <cell r="H168">
            <v>98.4</v>
          </cell>
        </row>
        <row r="169">
          <cell r="A169" t="str">
            <v>Beer Keg30000</v>
          </cell>
          <cell r="B169">
            <v>16.170000000000002</v>
          </cell>
          <cell r="C169">
            <v>0.38</v>
          </cell>
          <cell r="E169">
            <v>30000</v>
          </cell>
          <cell r="F169">
            <v>0.53900000000000003</v>
          </cell>
          <cell r="G169">
            <v>0</v>
          </cell>
          <cell r="H169">
            <v>147.6</v>
          </cell>
        </row>
        <row r="170">
          <cell r="A170" t="str">
            <v>Beer Keg50000</v>
          </cell>
          <cell r="B170">
            <v>26.95</v>
          </cell>
          <cell r="C170">
            <v>0.38</v>
          </cell>
          <cell r="E170">
            <v>50000</v>
          </cell>
          <cell r="F170">
            <v>0.53900000000000003</v>
          </cell>
          <cell r="G170">
            <v>0</v>
          </cell>
          <cell r="H170">
            <v>246</v>
          </cell>
        </row>
        <row r="171">
          <cell r="A171" t="str">
            <v>Code -575-Quidi Vidi - 6x341-2046ml - Retail 13.24</v>
          </cell>
          <cell r="B171">
            <v>3.05</v>
          </cell>
          <cell r="E171">
            <v>2046</v>
          </cell>
          <cell r="F171">
            <v>1.0429999999999999</v>
          </cell>
          <cell r="H171">
            <v>10.56</v>
          </cell>
        </row>
        <row r="172">
          <cell r="A172" t="str">
            <v>Code -576-QV - 6x341-2046ml - Retail 12.50</v>
          </cell>
          <cell r="B172">
            <v>2.95</v>
          </cell>
        </row>
        <row r="173">
          <cell r="A173" t="str">
            <v>Code -577-Storm - 6x341-2046ml - Retail 13.75</v>
          </cell>
          <cell r="B173">
            <v>3.12</v>
          </cell>
        </row>
        <row r="174">
          <cell r="A174" t="str">
            <v>Code -578-Quidi Vidi - 4x341-1364ml - Retail 12.60</v>
          </cell>
          <cell r="B174">
            <v>2.59</v>
          </cell>
        </row>
        <row r="175">
          <cell r="A175" t="str">
            <v>Code -580-Microbreweries - Big - 6x341-2046ml</v>
          </cell>
          <cell r="B175">
            <v>1.8921408</v>
          </cell>
          <cell r="C175">
            <v>0.32300000000000001</v>
          </cell>
          <cell r="E175">
            <v>2046</v>
          </cell>
          <cell r="F175">
            <v>1.0880000000000001</v>
          </cell>
          <cell r="H175">
            <v>11.05</v>
          </cell>
        </row>
        <row r="176">
          <cell r="A176" t="str">
            <v>Code -581-Quidi Vidi - 6x341-2046ml - Retail 17.99</v>
          </cell>
          <cell r="B176">
            <v>3.71</v>
          </cell>
        </row>
        <row r="177">
          <cell r="A177" t="str">
            <v>Code -585-Quidi Vidi - 12x341-4092ml - Retail 24.15</v>
          </cell>
          <cell r="B177">
            <v>5.65</v>
          </cell>
          <cell r="E177">
            <v>4092</v>
          </cell>
          <cell r="F177">
            <v>1.0029999999999999</v>
          </cell>
          <cell r="H177">
            <v>20.09</v>
          </cell>
        </row>
        <row r="178">
          <cell r="A178" t="str">
            <v>Code -586-QV - 12x341-4092ml - Retail 22.75</v>
          </cell>
          <cell r="B178">
            <v>5.46</v>
          </cell>
        </row>
        <row r="179">
          <cell r="A179" t="str">
            <v>Code -590-Microbreweries - Big - 12x341-4092ml</v>
          </cell>
          <cell r="B179">
            <v>3.5408075999999999</v>
          </cell>
          <cell r="C179">
            <v>0.32300000000000001</v>
          </cell>
          <cell r="E179">
            <v>4092</v>
          </cell>
          <cell r="F179">
            <v>1.018</v>
          </cell>
          <cell r="H179">
            <v>20.09</v>
          </cell>
        </row>
        <row r="180">
          <cell r="A180" t="str">
            <v>Code -595-Storm - Singles-650ml - Retail 4.60</v>
          </cell>
          <cell r="B180">
            <v>1.05</v>
          </cell>
          <cell r="E180">
            <v>650</v>
          </cell>
          <cell r="F180">
            <v>0.84</v>
          </cell>
          <cell r="H180">
            <v>3.85</v>
          </cell>
        </row>
        <row r="181">
          <cell r="A181" t="str">
            <v>Code -600-Quidi Vidi - 2 Pk-682ml - Retail 6.49</v>
          </cell>
          <cell r="B181">
            <v>1.32</v>
          </cell>
          <cell r="E181">
            <v>682</v>
          </cell>
          <cell r="F181">
            <v>0.84</v>
          </cell>
          <cell r="H181">
            <v>4.04</v>
          </cell>
        </row>
        <row r="182">
          <cell r="A182" t="str">
            <v>Code -601-Yellow Belly - Singles-1000ml - Retail 8.95</v>
          </cell>
          <cell r="B182">
            <v>1.54</v>
          </cell>
          <cell r="E182">
            <v>1000</v>
          </cell>
          <cell r="F182">
            <v>1.48</v>
          </cell>
        </row>
        <row r="183">
          <cell r="A183" t="str">
            <v>Code -602-Yellow Belly - Singles-1000ml - Retail 12.50</v>
          </cell>
          <cell r="B183">
            <v>2.0299999999999998</v>
          </cell>
          <cell r="E183">
            <v>1000</v>
          </cell>
          <cell r="F183">
            <v>1.48</v>
          </cell>
        </row>
        <row r="184">
          <cell r="A184" t="str">
            <v>Code -XXX-Yellow Belly - Growler-1800ml - Retail 21.06</v>
          </cell>
          <cell r="B184">
            <v>2.63</v>
          </cell>
          <cell r="E184">
            <v>1800</v>
          </cell>
          <cell r="F184">
            <v>2.63</v>
          </cell>
        </row>
        <row r="185">
          <cell r="A185" t="str">
            <v>Code -605-Storm - Wooden Killick-650ml</v>
          </cell>
          <cell r="B185">
            <v>0.74295</v>
          </cell>
          <cell r="C185">
            <v>0.25346000000000002</v>
          </cell>
          <cell r="E185">
            <v>650</v>
          </cell>
          <cell r="F185">
            <v>1.143</v>
          </cell>
          <cell r="H185">
            <v>3.85</v>
          </cell>
        </row>
        <row r="186">
          <cell r="A186" t="str">
            <v>Beer NLC Distributed250</v>
          </cell>
          <cell r="B186">
            <v>0.27</v>
          </cell>
          <cell r="C186">
            <v>0.38</v>
          </cell>
          <cell r="D186">
            <v>0.67</v>
          </cell>
          <cell r="E186">
            <v>250</v>
          </cell>
          <cell r="F186">
            <v>0.68899999999999995</v>
          </cell>
          <cell r="G186">
            <v>0.41099999999999998</v>
          </cell>
          <cell r="H186">
            <v>1.52</v>
          </cell>
        </row>
        <row r="187">
          <cell r="A187" t="str">
            <v>Beer NLC Distributed330</v>
          </cell>
          <cell r="B187">
            <v>0.37</v>
          </cell>
          <cell r="C187">
            <v>0.38</v>
          </cell>
          <cell r="D187">
            <v>0.67</v>
          </cell>
          <cell r="E187">
            <v>330</v>
          </cell>
          <cell r="F187">
            <v>0.68899999999999995</v>
          </cell>
          <cell r="G187">
            <v>0.41099999999999998</v>
          </cell>
          <cell r="H187">
            <v>2.0099999999999998</v>
          </cell>
        </row>
        <row r="188">
          <cell r="A188" t="str">
            <v>Beer NLC Distributed341</v>
          </cell>
          <cell r="B188">
            <v>0.37</v>
          </cell>
          <cell r="C188">
            <v>0.38</v>
          </cell>
          <cell r="D188">
            <v>0.67</v>
          </cell>
          <cell r="E188">
            <v>341</v>
          </cell>
          <cell r="F188">
            <v>0.68899999999999995</v>
          </cell>
          <cell r="G188">
            <v>0.41099999999999998</v>
          </cell>
          <cell r="H188">
            <v>2.0699999999999998</v>
          </cell>
        </row>
        <row r="189">
          <cell r="A189" t="str">
            <v>Beer NLC Distributed355</v>
          </cell>
          <cell r="B189">
            <v>0.39</v>
          </cell>
          <cell r="C189">
            <v>0.38</v>
          </cell>
          <cell r="D189">
            <v>0.67</v>
          </cell>
          <cell r="E189">
            <v>355</v>
          </cell>
          <cell r="F189">
            <v>0.68899999999999995</v>
          </cell>
          <cell r="G189">
            <v>0.41099999999999998</v>
          </cell>
          <cell r="H189">
            <v>2.16</v>
          </cell>
        </row>
        <row r="190">
          <cell r="A190" t="str">
            <v>Beer NLC Distributed375</v>
          </cell>
          <cell r="B190">
            <v>0.41000000000000003</v>
          </cell>
          <cell r="C190">
            <v>0.38</v>
          </cell>
          <cell r="D190">
            <v>0.67</v>
          </cell>
          <cell r="E190">
            <v>375</v>
          </cell>
          <cell r="F190">
            <v>0.68899999999999995</v>
          </cell>
          <cell r="G190">
            <v>0.41099999999999998</v>
          </cell>
          <cell r="H190">
            <v>2.2799999999999998</v>
          </cell>
        </row>
        <row r="191">
          <cell r="A191" t="str">
            <v>Beer NLC Distributed440</v>
          </cell>
          <cell r="B191">
            <v>0.48</v>
          </cell>
          <cell r="C191">
            <v>0.38</v>
          </cell>
          <cell r="D191">
            <v>0.67</v>
          </cell>
          <cell r="E191">
            <v>440</v>
          </cell>
          <cell r="F191">
            <v>0.68899999999999995</v>
          </cell>
          <cell r="G191">
            <v>0.41099999999999998</v>
          </cell>
          <cell r="H191">
            <v>2.68</v>
          </cell>
        </row>
        <row r="192">
          <cell r="A192" t="str">
            <v>Beer NLC Distributed473</v>
          </cell>
          <cell r="B192">
            <v>0.52</v>
          </cell>
          <cell r="C192">
            <v>0.38</v>
          </cell>
          <cell r="D192">
            <v>0.67</v>
          </cell>
          <cell r="E192">
            <v>473</v>
          </cell>
          <cell r="F192">
            <v>0.68899999999999995</v>
          </cell>
          <cell r="G192">
            <v>0.41099999999999998</v>
          </cell>
          <cell r="H192">
            <v>2.88</v>
          </cell>
        </row>
        <row r="193">
          <cell r="A193" t="str">
            <v>Beer NLC Distributed500</v>
          </cell>
          <cell r="B193">
            <v>0.55000000000000004</v>
          </cell>
          <cell r="C193">
            <v>0.38</v>
          </cell>
          <cell r="D193">
            <v>0.67</v>
          </cell>
          <cell r="E193">
            <v>500</v>
          </cell>
          <cell r="F193">
            <v>0.68899999999999995</v>
          </cell>
          <cell r="G193">
            <v>0.41099999999999998</v>
          </cell>
          <cell r="H193">
            <v>3.04</v>
          </cell>
        </row>
        <row r="194">
          <cell r="A194" t="str">
            <v>Beer NLC Distributed550</v>
          </cell>
          <cell r="B194">
            <v>0.61</v>
          </cell>
          <cell r="C194">
            <v>0.38</v>
          </cell>
          <cell r="D194">
            <v>0.67</v>
          </cell>
          <cell r="E194">
            <v>550</v>
          </cell>
          <cell r="F194">
            <v>0.68899999999999995</v>
          </cell>
          <cell r="G194">
            <v>0.41099999999999998</v>
          </cell>
          <cell r="H194">
            <v>3.34</v>
          </cell>
        </row>
        <row r="195">
          <cell r="A195" t="str">
            <v>Beer NLC Distributed600</v>
          </cell>
          <cell r="B195">
            <v>0.65999999999999992</v>
          </cell>
          <cell r="C195">
            <v>0.38</v>
          </cell>
          <cell r="D195">
            <v>0.67</v>
          </cell>
          <cell r="E195">
            <v>600</v>
          </cell>
          <cell r="F195">
            <v>0.68899999999999995</v>
          </cell>
          <cell r="G195">
            <v>0.41099999999999998</v>
          </cell>
          <cell r="H195">
            <v>3.65</v>
          </cell>
        </row>
        <row r="196">
          <cell r="A196" t="str">
            <v>Beer NLC Distributed650</v>
          </cell>
          <cell r="B196">
            <v>0.72</v>
          </cell>
          <cell r="C196">
            <v>0.38</v>
          </cell>
          <cell r="D196">
            <v>0.67</v>
          </cell>
          <cell r="E196">
            <v>650</v>
          </cell>
          <cell r="F196">
            <v>0.68899999999999995</v>
          </cell>
          <cell r="G196">
            <v>0.41099999999999998</v>
          </cell>
          <cell r="H196">
            <v>3.95</v>
          </cell>
        </row>
        <row r="197">
          <cell r="A197" t="str">
            <v>Beer NLC Distributed660</v>
          </cell>
          <cell r="B197">
            <v>0.72</v>
          </cell>
          <cell r="C197">
            <v>0.38</v>
          </cell>
          <cell r="D197">
            <v>0.67</v>
          </cell>
          <cell r="E197">
            <v>660</v>
          </cell>
          <cell r="F197">
            <v>0.68899999999999995</v>
          </cell>
          <cell r="G197">
            <v>0.41099999999999998</v>
          </cell>
          <cell r="H197">
            <v>4.01</v>
          </cell>
        </row>
        <row r="198">
          <cell r="A198" t="str">
            <v>Beer NLC Distributed710</v>
          </cell>
          <cell r="B198">
            <v>0.77</v>
          </cell>
          <cell r="C198">
            <v>0.38</v>
          </cell>
          <cell r="D198">
            <v>0.67</v>
          </cell>
          <cell r="E198">
            <v>710</v>
          </cell>
          <cell r="F198">
            <v>0.68300000000000005</v>
          </cell>
          <cell r="G198">
            <v>0.41099999999999998</v>
          </cell>
          <cell r="H198">
            <v>4.28</v>
          </cell>
        </row>
        <row r="199">
          <cell r="A199" t="str">
            <v>Beer NLC Distributed750</v>
          </cell>
          <cell r="B199">
            <v>0.82000000000000006</v>
          </cell>
          <cell r="C199">
            <v>0.38</v>
          </cell>
          <cell r="D199">
            <v>0.67</v>
          </cell>
          <cell r="E199">
            <v>750</v>
          </cell>
          <cell r="F199">
            <v>0.68300000000000005</v>
          </cell>
          <cell r="G199">
            <v>0.41099999999999998</v>
          </cell>
          <cell r="H199">
            <v>4.5199999999999996</v>
          </cell>
        </row>
        <row r="200">
          <cell r="A200" t="str">
            <v>Beer NLC Distributed765</v>
          </cell>
          <cell r="B200">
            <v>0.83000000000000007</v>
          </cell>
          <cell r="C200">
            <v>0.38</v>
          </cell>
          <cell r="D200">
            <v>0.67</v>
          </cell>
          <cell r="E200">
            <v>765</v>
          </cell>
          <cell r="F200">
            <v>0.68300000000000005</v>
          </cell>
          <cell r="G200">
            <v>0.41099999999999998</v>
          </cell>
          <cell r="H200">
            <v>4.6100000000000003</v>
          </cell>
        </row>
        <row r="201">
          <cell r="A201" t="str">
            <v>Beer NLC Distributed880</v>
          </cell>
          <cell r="B201">
            <v>0.96</v>
          </cell>
          <cell r="C201">
            <v>0.38</v>
          </cell>
          <cell r="D201">
            <v>0.67</v>
          </cell>
          <cell r="E201">
            <v>880</v>
          </cell>
          <cell r="F201">
            <v>0.68300000000000005</v>
          </cell>
          <cell r="G201">
            <v>0.41099999999999998</v>
          </cell>
          <cell r="H201">
            <v>5.31</v>
          </cell>
        </row>
        <row r="202">
          <cell r="A202" t="str">
            <v>Beer NLC Distributed944</v>
          </cell>
          <cell r="B202">
            <v>1.03</v>
          </cell>
          <cell r="C202">
            <v>0.38</v>
          </cell>
          <cell r="D202">
            <v>0.67</v>
          </cell>
          <cell r="E202">
            <v>944</v>
          </cell>
          <cell r="F202">
            <v>0.68300000000000005</v>
          </cell>
          <cell r="G202">
            <v>0.41099999999999998</v>
          </cell>
          <cell r="H202">
            <v>5.69</v>
          </cell>
        </row>
        <row r="203">
          <cell r="A203" t="str">
            <v>Beer NLC Distributed946</v>
          </cell>
          <cell r="B203">
            <v>1.04</v>
          </cell>
          <cell r="C203">
            <v>0.38</v>
          </cell>
          <cell r="D203">
            <v>0.67</v>
          </cell>
          <cell r="E203">
            <v>946</v>
          </cell>
          <cell r="F203">
            <v>0.68300000000000005</v>
          </cell>
          <cell r="G203">
            <v>0.41099999999999998</v>
          </cell>
          <cell r="H203">
            <v>5.7</v>
          </cell>
        </row>
        <row r="204">
          <cell r="A204" t="str">
            <v>Beer NLC Distributed990</v>
          </cell>
          <cell r="B204">
            <v>1.0900000000000001</v>
          </cell>
          <cell r="C204">
            <v>0.38</v>
          </cell>
          <cell r="D204">
            <v>0.67</v>
          </cell>
          <cell r="E204">
            <v>990</v>
          </cell>
          <cell r="F204">
            <v>0.68300000000000005</v>
          </cell>
          <cell r="G204">
            <v>0.41099999999999998</v>
          </cell>
          <cell r="H204">
            <v>5.97</v>
          </cell>
        </row>
        <row r="205">
          <cell r="A205" t="str">
            <v>Beer NLC Distributed1000</v>
          </cell>
          <cell r="B205">
            <v>1.0900000000000001</v>
          </cell>
          <cell r="C205">
            <v>0.38</v>
          </cell>
          <cell r="D205">
            <v>0.67</v>
          </cell>
          <cell r="E205">
            <v>1000</v>
          </cell>
          <cell r="F205">
            <v>0.68300000000000005</v>
          </cell>
          <cell r="G205">
            <v>0.41099999999999998</v>
          </cell>
          <cell r="H205">
            <v>6.03</v>
          </cell>
        </row>
        <row r="206">
          <cell r="A206" t="str">
            <v>Beer NLC Distributed1100</v>
          </cell>
          <cell r="B206">
            <v>1.2</v>
          </cell>
          <cell r="C206">
            <v>0.38</v>
          </cell>
          <cell r="D206">
            <v>0.67</v>
          </cell>
          <cell r="E206">
            <v>1100</v>
          </cell>
          <cell r="F206">
            <v>0.68300000000000005</v>
          </cell>
          <cell r="G206">
            <v>0.41099999999999998</v>
          </cell>
          <cell r="H206">
            <v>6.63</v>
          </cell>
        </row>
        <row r="207">
          <cell r="A207" t="str">
            <v>Beer NLC Distributed1110</v>
          </cell>
          <cell r="B207">
            <v>1.22</v>
          </cell>
          <cell r="C207">
            <v>0.38</v>
          </cell>
          <cell r="D207">
            <v>0.67</v>
          </cell>
          <cell r="E207">
            <v>1110</v>
          </cell>
          <cell r="F207">
            <v>0.68300000000000005</v>
          </cell>
          <cell r="G207">
            <v>0.41099999999999998</v>
          </cell>
          <cell r="H207">
            <v>6.69</v>
          </cell>
        </row>
        <row r="208">
          <cell r="A208" t="str">
            <v>Beer NLC Distributed1180</v>
          </cell>
          <cell r="B208">
            <v>1.29</v>
          </cell>
          <cell r="C208">
            <v>0.38</v>
          </cell>
          <cell r="D208">
            <v>0.67</v>
          </cell>
          <cell r="E208">
            <v>1180</v>
          </cell>
          <cell r="F208">
            <v>0.68300000000000005</v>
          </cell>
          <cell r="G208">
            <v>0.41099999999999998</v>
          </cell>
          <cell r="H208">
            <v>7.12</v>
          </cell>
        </row>
        <row r="209">
          <cell r="A209" t="str">
            <v>Beer NLC Distributed1300</v>
          </cell>
          <cell r="B209">
            <v>1.42</v>
          </cell>
          <cell r="C209">
            <v>0.38</v>
          </cell>
          <cell r="D209">
            <v>0.67</v>
          </cell>
          <cell r="E209">
            <v>1300</v>
          </cell>
          <cell r="F209">
            <v>0.68300000000000005</v>
          </cell>
          <cell r="G209">
            <v>0.41099999999999998</v>
          </cell>
          <cell r="H209">
            <v>7.84</v>
          </cell>
        </row>
        <row r="210">
          <cell r="A210" t="str">
            <v>Beer NLC Distributed1320</v>
          </cell>
          <cell r="B210">
            <v>1.44</v>
          </cell>
          <cell r="C210">
            <v>0.38</v>
          </cell>
          <cell r="D210">
            <v>0.67</v>
          </cell>
          <cell r="E210">
            <v>1320</v>
          </cell>
          <cell r="F210">
            <v>0.68300000000000005</v>
          </cell>
          <cell r="G210">
            <v>0.41099999999999998</v>
          </cell>
          <cell r="H210">
            <v>7.96</v>
          </cell>
        </row>
        <row r="211">
          <cell r="A211" t="str">
            <v>Beer NLC Distributed1364</v>
          </cell>
          <cell r="B211">
            <v>1.4900000000000002</v>
          </cell>
          <cell r="C211">
            <v>0.38</v>
          </cell>
          <cell r="D211">
            <v>0.67</v>
          </cell>
          <cell r="E211">
            <v>1364</v>
          </cell>
          <cell r="F211">
            <v>0.68300000000000005</v>
          </cell>
          <cell r="G211">
            <v>0.41099999999999998</v>
          </cell>
          <cell r="H211">
            <v>8.2200000000000006</v>
          </cell>
        </row>
        <row r="212">
          <cell r="A212" t="str">
            <v>Beer NLC Distributed1419</v>
          </cell>
          <cell r="B212">
            <v>1.5499999999999998</v>
          </cell>
          <cell r="C212">
            <v>0.38</v>
          </cell>
          <cell r="D212">
            <v>0.67</v>
          </cell>
          <cell r="E212">
            <v>1419</v>
          </cell>
          <cell r="F212">
            <v>0.68300000000000005</v>
          </cell>
          <cell r="G212">
            <v>0.41099999999999998</v>
          </cell>
          <cell r="H212">
            <v>8.56</v>
          </cell>
        </row>
        <row r="213">
          <cell r="A213" t="str">
            <v>Beer NLC Distributed1420</v>
          </cell>
          <cell r="B213">
            <v>1.5499999999999998</v>
          </cell>
          <cell r="C213">
            <v>0.38</v>
          </cell>
          <cell r="D213">
            <v>0.67</v>
          </cell>
          <cell r="E213">
            <v>1420</v>
          </cell>
          <cell r="F213">
            <v>0.68300000000000005</v>
          </cell>
          <cell r="G213">
            <v>0.41099999999999998</v>
          </cell>
          <cell r="H213">
            <v>8.56</v>
          </cell>
        </row>
        <row r="214">
          <cell r="A214" t="str">
            <v>Beer NLC Distributed1500</v>
          </cell>
          <cell r="B214">
            <v>1.6400000000000001</v>
          </cell>
          <cell r="C214">
            <v>0.38</v>
          </cell>
          <cell r="D214">
            <v>0.67</v>
          </cell>
          <cell r="E214">
            <v>1500</v>
          </cell>
          <cell r="F214">
            <v>0.68300000000000005</v>
          </cell>
          <cell r="G214">
            <v>0.41099999999999998</v>
          </cell>
          <cell r="H214">
            <v>9.0500000000000007</v>
          </cell>
        </row>
        <row r="215">
          <cell r="A215" t="str">
            <v>Beer NLC Distributed1760</v>
          </cell>
          <cell r="B215">
            <v>1.92</v>
          </cell>
          <cell r="C215">
            <v>0.38</v>
          </cell>
          <cell r="D215">
            <v>0.67</v>
          </cell>
          <cell r="E215">
            <v>1760</v>
          </cell>
          <cell r="F215">
            <v>0.68300000000000005</v>
          </cell>
          <cell r="G215">
            <v>0.41099999999999998</v>
          </cell>
          <cell r="H215">
            <v>10.61</v>
          </cell>
        </row>
        <row r="216">
          <cell r="A216" t="str">
            <v>Beer NLC Distributed1892</v>
          </cell>
          <cell r="B216">
            <v>2.0700000000000003</v>
          </cell>
          <cell r="C216">
            <v>0.38</v>
          </cell>
          <cell r="D216">
            <v>0.67</v>
          </cell>
          <cell r="E216">
            <v>1892</v>
          </cell>
          <cell r="F216">
            <v>0.68300000000000005</v>
          </cell>
          <cell r="G216">
            <v>0.41099999999999998</v>
          </cell>
          <cell r="H216">
            <v>11.41</v>
          </cell>
        </row>
        <row r="217">
          <cell r="A217" t="str">
            <v>Beer NLC Distributed1950</v>
          </cell>
          <cell r="B217">
            <v>2.13</v>
          </cell>
          <cell r="C217">
            <v>0.38</v>
          </cell>
          <cell r="D217">
            <v>0.67</v>
          </cell>
          <cell r="E217">
            <v>1950</v>
          </cell>
          <cell r="F217">
            <v>0.68300000000000005</v>
          </cell>
          <cell r="G217">
            <v>0.41099999999999998</v>
          </cell>
          <cell r="H217">
            <v>11.76</v>
          </cell>
        </row>
        <row r="218">
          <cell r="A218" t="str">
            <v>Beer NLC Distributed1980</v>
          </cell>
          <cell r="B218">
            <v>2.16</v>
          </cell>
          <cell r="C218">
            <v>0.38</v>
          </cell>
          <cell r="D218">
            <v>0.67</v>
          </cell>
          <cell r="E218">
            <v>1980</v>
          </cell>
          <cell r="F218">
            <v>0.68300000000000005</v>
          </cell>
          <cell r="G218">
            <v>0.41099999999999998</v>
          </cell>
          <cell r="H218">
            <v>11.94</v>
          </cell>
        </row>
        <row r="219">
          <cell r="A219" t="str">
            <v>Beer NLC Distributed2000</v>
          </cell>
          <cell r="B219">
            <v>2.19</v>
          </cell>
          <cell r="C219">
            <v>0.38</v>
          </cell>
          <cell r="D219">
            <v>0.67</v>
          </cell>
          <cell r="E219">
            <v>2000</v>
          </cell>
          <cell r="F219">
            <v>0.68300000000000005</v>
          </cell>
          <cell r="G219">
            <v>0.41099999999999998</v>
          </cell>
          <cell r="H219">
            <v>12.06</v>
          </cell>
        </row>
        <row r="220">
          <cell r="A220" t="str">
            <v>Beer NLC Distributed2046</v>
          </cell>
          <cell r="B220">
            <v>2.2399999999999998</v>
          </cell>
          <cell r="C220">
            <v>0.38</v>
          </cell>
          <cell r="D220">
            <v>0.67</v>
          </cell>
          <cell r="E220">
            <v>2046</v>
          </cell>
          <cell r="F220">
            <v>0.68300000000000005</v>
          </cell>
          <cell r="G220">
            <v>0.41099999999999998</v>
          </cell>
          <cell r="H220">
            <v>12.34</v>
          </cell>
        </row>
        <row r="221">
          <cell r="A221" t="str">
            <v>Beer NLC Distributed2076</v>
          </cell>
          <cell r="B221">
            <v>2.27</v>
          </cell>
          <cell r="C221">
            <v>0.38</v>
          </cell>
          <cell r="D221">
            <v>0.67</v>
          </cell>
          <cell r="E221">
            <v>2076</v>
          </cell>
          <cell r="F221">
            <v>0.68300000000000005</v>
          </cell>
          <cell r="G221">
            <v>0.41099999999999998</v>
          </cell>
          <cell r="H221">
            <v>12.52</v>
          </cell>
        </row>
        <row r="222">
          <cell r="A222" t="str">
            <v>Beer NLC Distributed2100</v>
          </cell>
          <cell r="B222">
            <v>2.29</v>
          </cell>
          <cell r="C222">
            <v>0.38</v>
          </cell>
          <cell r="D222">
            <v>0.67</v>
          </cell>
          <cell r="E222">
            <v>2100</v>
          </cell>
          <cell r="F222">
            <v>0.68300000000000005</v>
          </cell>
          <cell r="G222">
            <v>0.41099999999999998</v>
          </cell>
          <cell r="H222">
            <v>12.66</v>
          </cell>
        </row>
        <row r="223">
          <cell r="A223" t="str">
            <v>Beer NLC Distributed2130</v>
          </cell>
          <cell r="B223">
            <v>2.33</v>
          </cell>
          <cell r="C223">
            <v>0.38</v>
          </cell>
          <cell r="D223">
            <v>0.67</v>
          </cell>
          <cell r="E223">
            <v>2130</v>
          </cell>
          <cell r="F223">
            <v>0.68300000000000005</v>
          </cell>
          <cell r="G223">
            <v>0.41099999999999998</v>
          </cell>
          <cell r="H223">
            <v>12.84</v>
          </cell>
        </row>
        <row r="224">
          <cell r="A224" t="str">
            <v>Beer NLC Distributed2400</v>
          </cell>
          <cell r="B224">
            <v>2.5099999999999998</v>
          </cell>
          <cell r="C224">
            <v>0.38</v>
          </cell>
          <cell r="D224">
            <v>0.67</v>
          </cell>
          <cell r="E224">
            <v>2400</v>
          </cell>
          <cell r="F224">
            <v>0.63500000000000001</v>
          </cell>
          <cell r="G224">
            <v>0.41099999999999998</v>
          </cell>
          <cell r="H224">
            <v>13.46</v>
          </cell>
        </row>
        <row r="225">
          <cell r="A225" t="str">
            <v>Beer NLC Distributed2500</v>
          </cell>
          <cell r="B225">
            <v>2.62</v>
          </cell>
          <cell r="C225">
            <v>0.38</v>
          </cell>
          <cell r="D225">
            <v>0.67</v>
          </cell>
          <cell r="E225">
            <v>2500</v>
          </cell>
          <cell r="F225">
            <v>0.63500000000000001</v>
          </cell>
          <cell r="G225">
            <v>0.41099999999999998</v>
          </cell>
          <cell r="H225">
            <v>14.03</v>
          </cell>
        </row>
        <row r="226">
          <cell r="A226" t="str">
            <v>Beer NLC Distributed2640</v>
          </cell>
          <cell r="B226">
            <v>2.77</v>
          </cell>
          <cell r="C226">
            <v>0.38</v>
          </cell>
          <cell r="D226">
            <v>0.67</v>
          </cell>
          <cell r="E226">
            <v>2640</v>
          </cell>
          <cell r="F226">
            <v>0.63500000000000001</v>
          </cell>
          <cell r="G226">
            <v>0.41099999999999998</v>
          </cell>
          <cell r="H226">
            <v>14.81</v>
          </cell>
        </row>
        <row r="227">
          <cell r="A227" t="str">
            <v>Beer NLC Distributed2728</v>
          </cell>
          <cell r="B227">
            <v>2.85</v>
          </cell>
          <cell r="C227">
            <v>0.38</v>
          </cell>
          <cell r="D227">
            <v>0.67</v>
          </cell>
          <cell r="E227">
            <v>2728</v>
          </cell>
          <cell r="F227">
            <v>0.63500000000000001</v>
          </cell>
          <cell r="G227">
            <v>0.41099999999999998</v>
          </cell>
          <cell r="H227">
            <v>15.3</v>
          </cell>
        </row>
        <row r="228">
          <cell r="A228" t="str">
            <v>Beer NLC Distributed2838</v>
          </cell>
          <cell r="B228">
            <v>2.9699999999999998</v>
          </cell>
          <cell r="C228">
            <v>0.38</v>
          </cell>
          <cell r="D228">
            <v>0.67</v>
          </cell>
          <cell r="E228">
            <v>2838</v>
          </cell>
          <cell r="F228">
            <v>0.63500000000000001</v>
          </cell>
          <cell r="G228">
            <v>0.41099999999999998</v>
          </cell>
          <cell r="H228">
            <v>15.92</v>
          </cell>
        </row>
        <row r="229">
          <cell r="A229" t="str">
            <v>Beer NLC Distributed2840</v>
          </cell>
          <cell r="B229">
            <v>2.9699999999999998</v>
          </cell>
          <cell r="C229">
            <v>0.38</v>
          </cell>
          <cell r="D229">
            <v>0.67</v>
          </cell>
          <cell r="E229">
            <v>2840</v>
          </cell>
          <cell r="F229">
            <v>0.63500000000000001</v>
          </cell>
          <cell r="G229">
            <v>0.41099999999999998</v>
          </cell>
          <cell r="H229">
            <v>15.93</v>
          </cell>
        </row>
        <row r="230">
          <cell r="A230" t="str">
            <v>Beer NLC Distributed3000</v>
          </cell>
          <cell r="B230">
            <v>3.1399999999999997</v>
          </cell>
          <cell r="C230">
            <v>0.38</v>
          </cell>
          <cell r="D230">
            <v>0.67</v>
          </cell>
          <cell r="E230">
            <v>3000</v>
          </cell>
          <cell r="F230">
            <v>0.63500000000000001</v>
          </cell>
          <cell r="G230">
            <v>0.41099999999999998</v>
          </cell>
          <cell r="H230">
            <v>16.829999999999998</v>
          </cell>
        </row>
        <row r="231">
          <cell r="A231" t="str">
            <v>Beer NLC Distributed3300</v>
          </cell>
          <cell r="B231">
            <v>3.46</v>
          </cell>
          <cell r="C231">
            <v>0.38</v>
          </cell>
          <cell r="D231">
            <v>0.67</v>
          </cell>
          <cell r="E231">
            <v>3300</v>
          </cell>
          <cell r="F231">
            <v>0.63500000000000001</v>
          </cell>
          <cell r="G231">
            <v>0.41099999999999998</v>
          </cell>
          <cell r="H231">
            <v>18.510000000000002</v>
          </cell>
        </row>
        <row r="232">
          <cell r="A232" t="str">
            <v>Beer NLC Distributed3520</v>
          </cell>
          <cell r="B232">
            <v>3.6900000000000004</v>
          </cell>
          <cell r="C232">
            <v>0.38</v>
          </cell>
          <cell r="D232">
            <v>0.67</v>
          </cell>
          <cell r="E232">
            <v>3520</v>
          </cell>
          <cell r="F232">
            <v>0.63500000000000001</v>
          </cell>
          <cell r="G232">
            <v>0.41099999999999998</v>
          </cell>
          <cell r="H232">
            <v>19.75</v>
          </cell>
        </row>
        <row r="233">
          <cell r="A233" t="str">
            <v>Beer NLC Distributed3550</v>
          </cell>
          <cell r="B233">
            <v>3.71</v>
          </cell>
          <cell r="C233">
            <v>0.38</v>
          </cell>
          <cell r="D233">
            <v>0.67</v>
          </cell>
          <cell r="E233">
            <v>3550</v>
          </cell>
          <cell r="F233">
            <v>0.63500000000000001</v>
          </cell>
          <cell r="G233">
            <v>0.41099999999999998</v>
          </cell>
          <cell r="H233">
            <v>19.920000000000002</v>
          </cell>
        </row>
        <row r="234">
          <cell r="A234" t="str">
            <v>Beer NLC Distributed3760</v>
          </cell>
          <cell r="B234">
            <v>3.9400000000000004</v>
          </cell>
          <cell r="C234">
            <v>0.38</v>
          </cell>
          <cell r="D234">
            <v>0.67</v>
          </cell>
          <cell r="E234">
            <v>3760</v>
          </cell>
          <cell r="F234">
            <v>0.63500000000000001</v>
          </cell>
          <cell r="G234">
            <v>0.41099999999999998</v>
          </cell>
          <cell r="H234">
            <v>21.09</v>
          </cell>
        </row>
        <row r="235">
          <cell r="A235" t="str">
            <v>Beer NLC Distributed3784</v>
          </cell>
          <cell r="B235">
            <v>3.96</v>
          </cell>
          <cell r="C235">
            <v>0.38</v>
          </cell>
          <cell r="D235">
            <v>0.67</v>
          </cell>
          <cell r="E235">
            <v>3784</v>
          </cell>
          <cell r="F235">
            <v>0.63500000000000001</v>
          </cell>
          <cell r="G235">
            <v>0.41099999999999998</v>
          </cell>
          <cell r="H235">
            <v>21.23</v>
          </cell>
        </row>
        <row r="236">
          <cell r="A236" t="str">
            <v>Beer NLC Distributed3960</v>
          </cell>
          <cell r="B236">
            <v>4</v>
          </cell>
          <cell r="C236">
            <v>0.38</v>
          </cell>
          <cell r="D236">
            <v>0.67</v>
          </cell>
          <cell r="E236">
            <v>3960</v>
          </cell>
          <cell r="F236">
            <v>0.59899999999999998</v>
          </cell>
          <cell r="G236">
            <v>0.41099999999999998</v>
          </cell>
          <cell r="H236">
            <v>20.95</v>
          </cell>
        </row>
        <row r="237">
          <cell r="A237" t="str">
            <v>Beer NLC Distributed4000</v>
          </cell>
          <cell r="B237">
            <v>4.04</v>
          </cell>
          <cell r="C237">
            <v>0.38</v>
          </cell>
          <cell r="D237">
            <v>0.67</v>
          </cell>
          <cell r="E237">
            <v>4000</v>
          </cell>
          <cell r="F237">
            <v>0.59899999999999998</v>
          </cell>
          <cell r="G237">
            <v>0.41099999999999998</v>
          </cell>
          <cell r="H237">
            <v>21.16</v>
          </cell>
        </row>
        <row r="238">
          <cell r="A238" t="str">
            <v>Beer NLC Distributed4092</v>
          </cell>
          <cell r="B238">
            <v>4.13</v>
          </cell>
          <cell r="C238">
            <v>0.38</v>
          </cell>
          <cell r="D238">
            <v>0.67</v>
          </cell>
          <cell r="E238">
            <v>4092</v>
          </cell>
          <cell r="F238">
            <v>0.59899999999999998</v>
          </cell>
          <cell r="G238">
            <v>0.41099999999999998</v>
          </cell>
          <cell r="H238">
            <v>21.65</v>
          </cell>
        </row>
        <row r="239">
          <cell r="A239" t="str">
            <v>Beer NLC Distributed4260</v>
          </cell>
          <cell r="B239">
            <v>4.3</v>
          </cell>
          <cell r="C239">
            <v>0.38</v>
          </cell>
          <cell r="D239">
            <v>0.67</v>
          </cell>
          <cell r="E239">
            <v>4260</v>
          </cell>
          <cell r="F239">
            <v>0.59899999999999998</v>
          </cell>
          <cell r="G239">
            <v>0.41099999999999998</v>
          </cell>
          <cell r="H239">
            <v>22.54</v>
          </cell>
        </row>
        <row r="240">
          <cell r="A240" t="str">
            <v>Beer NLC Distributed5000</v>
          </cell>
          <cell r="B240">
            <v>5.0600000000000005</v>
          </cell>
          <cell r="C240">
            <v>0.38</v>
          </cell>
          <cell r="D240">
            <v>0.67</v>
          </cell>
          <cell r="E240">
            <v>5000</v>
          </cell>
          <cell r="F240">
            <v>0.59899999999999998</v>
          </cell>
          <cell r="G240">
            <v>0.41099999999999998</v>
          </cell>
          <cell r="H240">
            <v>26.45</v>
          </cell>
        </row>
        <row r="241">
          <cell r="A241" t="str">
            <v>Beer NLC Distributed5325</v>
          </cell>
          <cell r="B241">
            <v>5.38</v>
          </cell>
          <cell r="C241">
            <v>0.38</v>
          </cell>
          <cell r="D241">
            <v>0.67</v>
          </cell>
          <cell r="E241">
            <v>5325</v>
          </cell>
          <cell r="F241">
            <v>0.59899999999999998</v>
          </cell>
          <cell r="G241">
            <v>0.41099999999999998</v>
          </cell>
          <cell r="H241">
            <v>28.17</v>
          </cell>
        </row>
        <row r="242">
          <cell r="A242" t="str">
            <v>Beer NLC Distributed5676</v>
          </cell>
          <cell r="B242">
            <v>5.73</v>
          </cell>
          <cell r="C242">
            <v>0.38</v>
          </cell>
          <cell r="D242">
            <v>0.67</v>
          </cell>
          <cell r="E242">
            <v>5676</v>
          </cell>
          <cell r="F242">
            <v>0.59899999999999998</v>
          </cell>
          <cell r="G242">
            <v>0.41099999999999998</v>
          </cell>
          <cell r="H242">
            <v>30.03</v>
          </cell>
        </row>
        <row r="243">
          <cell r="A243" t="str">
            <v>Beer NLC Distributed7920</v>
          </cell>
          <cell r="B243">
            <v>7.67</v>
          </cell>
          <cell r="C243">
            <v>0.38</v>
          </cell>
          <cell r="D243">
            <v>0.67</v>
          </cell>
          <cell r="E243">
            <v>7920</v>
          </cell>
          <cell r="F243">
            <v>0.55700000000000005</v>
          </cell>
          <cell r="G243">
            <v>0.41099999999999998</v>
          </cell>
          <cell r="H243">
            <v>41.9</v>
          </cell>
        </row>
        <row r="244">
          <cell r="A244" t="str">
            <v>Beer NLC Distributed8520</v>
          </cell>
          <cell r="B244">
            <v>8.25</v>
          </cell>
          <cell r="C244">
            <v>0.38</v>
          </cell>
          <cell r="D244">
            <v>0.67</v>
          </cell>
          <cell r="E244">
            <v>8520</v>
          </cell>
          <cell r="F244">
            <v>0.55700000000000005</v>
          </cell>
          <cell r="G244">
            <v>0.41099999999999998</v>
          </cell>
          <cell r="H244">
            <v>45.07</v>
          </cell>
        </row>
        <row r="245">
          <cell r="A245" t="str">
            <v>Beer NLC Distributed12000</v>
          </cell>
          <cell r="B245">
            <v>11.61</v>
          </cell>
          <cell r="C245">
            <v>0.38</v>
          </cell>
          <cell r="D245">
            <v>0.67</v>
          </cell>
          <cell r="E245">
            <v>12000</v>
          </cell>
          <cell r="F245">
            <v>0.55700000000000005</v>
          </cell>
          <cell r="G245">
            <v>0.41099999999999998</v>
          </cell>
          <cell r="H245">
            <v>63.48</v>
          </cell>
        </row>
        <row r="246">
          <cell r="A246" t="str">
            <v>Beer NLC Distributed30000</v>
          </cell>
          <cell r="B246">
            <v>16.170000000000002</v>
          </cell>
          <cell r="C246">
            <v>0.38</v>
          </cell>
          <cell r="D246">
            <v>0.67</v>
          </cell>
          <cell r="E246">
            <v>30000</v>
          </cell>
          <cell r="F246">
            <v>0.53900000000000003</v>
          </cell>
          <cell r="H246">
            <v>158.69999999999999</v>
          </cell>
        </row>
        <row r="247">
          <cell r="A247" t="str">
            <v>Beer NLC Distributed50000</v>
          </cell>
          <cell r="B247">
            <v>26.95</v>
          </cell>
          <cell r="C247">
            <v>0.38</v>
          </cell>
          <cell r="D247">
            <v>0.67</v>
          </cell>
          <cell r="E247">
            <v>50000</v>
          </cell>
          <cell r="F247">
            <v>0.53900000000000003</v>
          </cell>
          <cell r="H247">
            <v>264.5</v>
          </cell>
        </row>
        <row r="248">
          <cell r="A248" t="str">
            <v>Beer NLC Distributed Low Alcohol Beer1000</v>
          </cell>
          <cell r="B248">
            <v>0.55000000000000004</v>
          </cell>
          <cell r="C248">
            <v>0.19</v>
          </cell>
          <cell r="D248">
            <v>0.67</v>
          </cell>
          <cell r="E248">
            <v>1000</v>
          </cell>
          <cell r="F248">
            <v>0.34200000000000003</v>
          </cell>
          <cell r="G248">
            <v>0.20599999999999999</v>
          </cell>
          <cell r="H248">
            <v>3</v>
          </cell>
        </row>
        <row r="249">
          <cell r="A249" t="str">
            <v>Beer NLC Distributed Low Alcohol Beer1320</v>
          </cell>
          <cell r="B249">
            <v>0.72</v>
          </cell>
          <cell r="C249">
            <v>0.19</v>
          </cell>
          <cell r="D249">
            <v>0.67</v>
          </cell>
          <cell r="E249">
            <v>1320</v>
          </cell>
          <cell r="F249">
            <v>0.34200000000000003</v>
          </cell>
          <cell r="G249">
            <v>0.20599999999999999</v>
          </cell>
          <cell r="H249">
            <v>3.96</v>
          </cell>
        </row>
        <row r="250">
          <cell r="A250" t="str">
            <v>Beer NLC Distributed Low Alcohol Beer2046</v>
          </cell>
          <cell r="B250">
            <v>1.1199999999999999</v>
          </cell>
          <cell r="C250">
            <v>0.19</v>
          </cell>
          <cell r="D250">
            <v>0.67</v>
          </cell>
          <cell r="E250">
            <v>2046</v>
          </cell>
          <cell r="F250">
            <v>0.34200000000000003</v>
          </cell>
          <cell r="G250">
            <v>0.20599999999999999</v>
          </cell>
          <cell r="H250">
            <v>6.14</v>
          </cell>
        </row>
        <row r="251">
          <cell r="A251" t="str">
            <v>Beer NLC Distributed Low Alcohol Beer2130</v>
          </cell>
          <cell r="B251">
            <v>1.17</v>
          </cell>
          <cell r="C251">
            <v>0.19</v>
          </cell>
          <cell r="D251">
            <v>0.67</v>
          </cell>
          <cell r="E251">
            <v>2130</v>
          </cell>
          <cell r="F251">
            <v>0.34200000000000003</v>
          </cell>
          <cell r="G251">
            <v>0.20599999999999999</v>
          </cell>
          <cell r="H251">
            <v>6.39</v>
          </cell>
        </row>
        <row r="252">
          <cell r="A252" t="str">
            <v>Beer NLC Distributed Low Alcohol Beer4260</v>
          </cell>
          <cell r="B252">
            <v>2.16</v>
          </cell>
          <cell r="C252">
            <v>0.19</v>
          </cell>
          <cell r="D252">
            <v>0.67</v>
          </cell>
          <cell r="E252">
            <v>4260</v>
          </cell>
          <cell r="F252">
            <v>0.3</v>
          </cell>
          <cell r="G252">
            <v>0.20599999999999999</v>
          </cell>
          <cell r="H252">
            <v>11.2</v>
          </cell>
        </row>
        <row r="253">
          <cell r="A253" t="str">
            <v>Ready To Drink180</v>
          </cell>
          <cell r="B253">
            <v>0.49440000000000001</v>
          </cell>
          <cell r="C253">
            <v>0.72</v>
          </cell>
          <cell r="E253">
            <v>180</v>
          </cell>
          <cell r="H253">
            <v>1.2407999999999999</v>
          </cell>
          <cell r="I253">
            <v>1.5407999999999999</v>
          </cell>
        </row>
        <row r="254">
          <cell r="A254" t="str">
            <v>Ready To Drink200</v>
          </cell>
          <cell r="B254">
            <v>0.54933333333333334</v>
          </cell>
          <cell r="C254">
            <v>0.72</v>
          </cell>
          <cell r="E254">
            <v>200</v>
          </cell>
          <cell r="H254">
            <v>1.3786666666666665</v>
          </cell>
          <cell r="I254">
            <v>1.712</v>
          </cell>
        </row>
        <row r="255">
          <cell r="A255" t="str">
            <v>Ready To Drink250</v>
          </cell>
          <cell r="B255">
            <v>0.68666666666666665</v>
          </cell>
          <cell r="C255">
            <v>0.72</v>
          </cell>
          <cell r="E255">
            <v>250</v>
          </cell>
          <cell r="H255">
            <v>1.7233333333333332</v>
          </cell>
          <cell r="I255">
            <v>2.14</v>
          </cell>
        </row>
        <row r="256">
          <cell r="A256" t="str">
            <v>Ready To Drink270</v>
          </cell>
          <cell r="B256">
            <v>0.74160000000000004</v>
          </cell>
          <cell r="C256">
            <v>0.72</v>
          </cell>
          <cell r="E256">
            <v>270</v>
          </cell>
          <cell r="H256">
            <v>1.8612</v>
          </cell>
          <cell r="I256">
            <v>2.3111999999999999</v>
          </cell>
        </row>
        <row r="257">
          <cell r="A257" t="str">
            <v>Ready To Drink275</v>
          </cell>
          <cell r="B257">
            <v>0.75533333333333341</v>
          </cell>
          <cell r="C257">
            <v>0.72</v>
          </cell>
          <cell r="E257">
            <v>275</v>
          </cell>
          <cell r="H257">
            <v>1.8956666666666666</v>
          </cell>
          <cell r="I257">
            <v>2.3540000000000001</v>
          </cell>
        </row>
        <row r="258">
          <cell r="A258" t="str">
            <v>Ready To Drink296</v>
          </cell>
          <cell r="B258">
            <v>0.81301333333333337</v>
          </cell>
          <cell r="C258">
            <v>0.72</v>
          </cell>
          <cell r="E258">
            <v>296</v>
          </cell>
          <cell r="H258">
            <v>2.0404266666666664</v>
          </cell>
          <cell r="I258">
            <v>2.53376</v>
          </cell>
        </row>
        <row r="259">
          <cell r="A259" t="str">
            <v>Ready To Drink300</v>
          </cell>
          <cell r="B259">
            <v>0.82400000000000007</v>
          </cell>
          <cell r="C259">
            <v>0.72</v>
          </cell>
          <cell r="E259">
            <v>300</v>
          </cell>
          <cell r="H259">
            <v>2.0680000000000001</v>
          </cell>
          <cell r="I259">
            <v>2.5680000000000001</v>
          </cell>
        </row>
        <row r="260">
          <cell r="A260" t="str">
            <v>Ready To Drink330</v>
          </cell>
          <cell r="B260">
            <v>0.90640000000000009</v>
          </cell>
          <cell r="C260">
            <v>0.72</v>
          </cell>
          <cell r="E260">
            <v>330</v>
          </cell>
          <cell r="H260">
            <v>2.2747999999999999</v>
          </cell>
          <cell r="I260">
            <v>2.8247999999999998</v>
          </cell>
        </row>
        <row r="261">
          <cell r="A261" t="str">
            <v>Ready To Drink341</v>
          </cell>
          <cell r="B261">
            <v>0.93661333333333341</v>
          </cell>
          <cell r="C261">
            <v>0.72</v>
          </cell>
          <cell r="E261">
            <v>341</v>
          </cell>
          <cell r="H261">
            <v>2.3506266666666664</v>
          </cell>
          <cell r="I261">
            <v>2.9189599999999998</v>
          </cell>
        </row>
        <row r="262">
          <cell r="A262" t="str">
            <v>Ready To Drink355</v>
          </cell>
          <cell r="B262">
            <v>0.97506666666666675</v>
          </cell>
          <cell r="C262">
            <v>0.72</v>
          </cell>
          <cell r="E262">
            <v>355</v>
          </cell>
          <cell r="H262">
            <v>2.4471333333333334</v>
          </cell>
          <cell r="I262">
            <v>3.0388000000000002</v>
          </cell>
        </row>
        <row r="263">
          <cell r="A263" t="str">
            <v>Ready To Drink375</v>
          </cell>
          <cell r="B263">
            <v>1.03</v>
          </cell>
          <cell r="C263">
            <v>0.72</v>
          </cell>
          <cell r="E263">
            <v>375</v>
          </cell>
          <cell r="H263">
            <v>2.585</v>
          </cell>
          <cell r="I263">
            <v>3.21</v>
          </cell>
        </row>
        <row r="264">
          <cell r="A264" t="str">
            <v>Ready To Drink400</v>
          </cell>
          <cell r="B264">
            <v>1.0986666666666667</v>
          </cell>
          <cell r="C264">
            <v>0.72</v>
          </cell>
          <cell r="E264">
            <v>400</v>
          </cell>
          <cell r="H264">
            <v>2.757333333333333</v>
          </cell>
          <cell r="I264">
            <v>3.4239999999999999</v>
          </cell>
        </row>
        <row r="265">
          <cell r="A265" t="str">
            <v>Ready To Drink440</v>
          </cell>
          <cell r="B265">
            <v>1.2085333333333335</v>
          </cell>
          <cell r="C265">
            <v>0.72</v>
          </cell>
          <cell r="E265">
            <v>440</v>
          </cell>
          <cell r="H265">
            <v>3.0330666666666666</v>
          </cell>
          <cell r="I265">
            <v>3.7664</v>
          </cell>
        </row>
        <row r="266">
          <cell r="A266" t="str">
            <v>Ready To Drink458</v>
          </cell>
          <cell r="B266">
            <v>1.2579733333333334</v>
          </cell>
          <cell r="C266">
            <v>0.72</v>
          </cell>
          <cell r="E266">
            <v>458</v>
          </cell>
          <cell r="H266">
            <v>3.1571466666666663</v>
          </cell>
          <cell r="I266">
            <v>3.92048</v>
          </cell>
        </row>
        <row r="267">
          <cell r="A267" t="str">
            <v>Ready To Drink473</v>
          </cell>
          <cell r="B267">
            <v>1.2991733333333333</v>
          </cell>
          <cell r="C267">
            <v>0.72</v>
          </cell>
          <cell r="E267">
            <v>473</v>
          </cell>
          <cell r="H267">
            <v>3.2605466666666665</v>
          </cell>
          <cell r="I267">
            <v>4.0488799999999996</v>
          </cell>
        </row>
        <row r="268">
          <cell r="A268" t="str">
            <v>Ready To Drink500</v>
          </cell>
          <cell r="B268">
            <v>1.3733333333333333</v>
          </cell>
          <cell r="C268">
            <v>0.72</v>
          </cell>
          <cell r="E268">
            <v>500</v>
          </cell>
          <cell r="H268">
            <v>3.4466666666666663</v>
          </cell>
          <cell r="I268">
            <v>4.28</v>
          </cell>
        </row>
        <row r="269">
          <cell r="A269" t="str">
            <v>Ready To Drink700</v>
          </cell>
          <cell r="B269">
            <v>1.9226666666666667</v>
          </cell>
          <cell r="C269">
            <v>0.72</v>
          </cell>
          <cell r="E269">
            <v>700</v>
          </cell>
          <cell r="H269">
            <v>4.825333333333333</v>
          </cell>
          <cell r="I269">
            <v>5.992</v>
          </cell>
        </row>
        <row r="270">
          <cell r="A270" t="str">
            <v>Ready To Drink750</v>
          </cell>
          <cell r="B270">
            <v>2.06</v>
          </cell>
          <cell r="C270">
            <v>0.72</v>
          </cell>
          <cell r="E270">
            <v>750</v>
          </cell>
          <cell r="H270">
            <v>5.17</v>
          </cell>
          <cell r="I270">
            <v>6.42</v>
          </cell>
        </row>
        <row r="271">
          <cell r="A271" t="str">
            <v>Ready To Drink900</v>
          </cell>
          <cell r="B271">
            <v>2.472</v>
          </cell>
          <cell r="C271">
            <v>0.72</v>
          </cell>
          <cell r="E271">
            <v>900</v>
          </cell>
          <cell r="H271">
            <v>6.2039999999999997</v>
          </cell>
          <cell r="I271">
            <v>7.7039999999999997</v>
          </cell>
        </row>
        <row r="272">
          <cell r="A272" t="str">
            <v>Ready To Drink1000</v>
          </cell>
          <cell r="B272">
            <v>2.7466666666666666</v>
          </cell>
          <cell r="C272">
            <v>0.72</v>
          </cell>
          <cell r="E272">
            <v>1000</v>
          </cell>
          <cell r="H272">
            <v>6.8933333333333326</v>
          </cell>
          <cell r="I272">
            <v>8.56</v>
          </cell>
        </row>
        <row r="273">
          <cell r="A273" t="str">
            <v>Ready To Drink1080</v>
          </cell>
          <cell r="B273">
            <v>2.9664000000000001</v>
          </cell>
          <cell r="C273">
            <v>0.72</v>
          </cell>
          <cell r="E273">
            <v>1080</v>
          </cell>
          <cell r="H273">
            <v>7.4447999999999999</v>
          </cell>
          <cell r="I273">
            <v>9.2447999999999997</v>
          </cell>
        </row>
        <row r="274">
          <cell r="A274" t="str">
            <v>Ready To Drink1100</v>
          </cell>
          <cell r="B274">
            <v>3.0213333333333336</v>
          </cell>
          <cell r="C274">
            <v>0.72</v>
          </cell>
          <cell r="E274">
            <v>1100</v>
          </cell>
          <cell r="H274">
            <v>7.5826666666666664</v>
          </cell>
          <cell r="I274">
            <v>9.4160000000000004</v>
          </cell>
        </row>
        <row r="275">
          <cell r="A275" t="str">
            <v>Ready To Drink1140</v>
          </cell>
          <cell r="B275">
            <v>3.1312000000000002</v>
          </cell>
          <cell r="C275">
            <v>0.72</v>
          </cell>
          <cell r="E275">
            <v>1140</v>
          </cell>
          <cell r="H275">
            <v>7.8583999999999996</v>
          </cell>
          <cell r="I275">
            <v>9.7584</v>
          </cell>
        </row>
        <row r="276">
          <cell r="A276" t="str">
            <v>Ready To Drink1200</v>
          </cell>
          <cell r="B276">
            <v>3.2960000000000003</v>
          </cell>
          <cell r="C276">
            <v>0.72</v>
          </cell>
          <cell r="E276">
            <v>1200</v>
          </cell>
          <cell r="H276">
            <v>8.2720000000000002</v>
          </cell>
          <cell r="I276">
            <v>10.272</v>
          </cell>
        </row>
        <row r="277">
          <cell r="A277" t="str">
            <v>Ready To Drink1320</v>
          </cell>
          <cell r="B277">
            <v>3.6256000000000004</v>
          </cell>
          <cell r="C277">
            <v>0.72</v>
          </cell>
          <cell r="E277">
            <v>1320</v>
          </cell>
          <cell r="H277">
            <v>9.0991999999999997</v>
          </cell>
          <cell r="I277">
            <v>11.299199999999999</v>
          </cell>
        </row>
        <row r="278">
          <cell r="A278" t="str">
            <v>Ready To Drink1332</v>
          </cell>
          <cell r="B278">
            <v>3.65856</v>
          </cell>
          <cell r="C278">
            <v>0.72</v>
          </cell>
          <cell r="E278">
            <v>1332</v>
          </cell>
          <cell r="H278">
            <v>9.1819199999999999</v>
          </cell>
          <cell r="I278">
            <v>11.40192</v>
          </cell>
        </row>
        <row r="279">
          <cell r="A279" t="str">
            <v>Ready To Drink1360</v>
          </cell>
          <cell r="B279">
            <v>3.7354666666666669</v>
          </cell>
          <cell r="C279">
            <v>0.72</v>
          </cell>
          <cell r="E279">
            <v>1360</v>
          </cell>
          <cell r="H279">
            <v>9.3749333333333329</v>
          </cell>
          <cell r="I279">
            <v>11.6416</v>
          </cell>
        </row>
        <row r="280">
          <cell r="A280" t="str">
            <v>Ready To Drink1364</v>
          </cell>
          <cell r="B280">
            <v>3.7464533333333336</v>
          </cell>
          <cell r="C280">
            <v>0.72</v>
          </cell>
          <cell r="E280">
            <v>1364</v>
          </cell>
          <cell r="H280">
            <v>9.4025066666666657</v>
          </cell>
          <cell r="I280">
            <v>11.675839999999999</v>
          </cell>
        </row>
        <row r="281">
          <cell r="A281" t="str">
            <v>Ready To Drink1420</v>
          </cell>
          <cell r="B281">
            <v>3.900266666666667</v>
          </cell>
          <cell r="C281">
            <v>0.72</v>
          </cell>
          <cell r="E281">
            <v>1420</v>
          </cell>
          <cell r="H281">
            <v>9.7885333333333335</v>
          </cell>
          <cell r="I281">
            <v>12.155200000000001</v>
          </cell>
        </row>
        <row r="282">
          <cell r="A282" t="str">
            <v>Ready To Drink1500</v>
          </cell>
          <cell r="B282">
            <v>4.12</v>
          </cell>
          <cell r="C282">
            <v>0.72</v>
          </cell>
          <cell r="E282">
            <v>1500</v>
          </cell>
          <cell r="H282">
            <v>10.34</v>
          </cell>
          <cell r="I282">
            <v>12.84</v>
          </cell>
        </row>
        <row r="283">
          <cell r="A283" t="str">
            <v>Ready To Drink1600</v>
          </cell>
          <cell r="B283">
            <v>4.3946666666666667</v>
          </cell>
          <cell r="C283">
            <v>0.72</v>
          </cell>
          <cell r="E283">
            <v>1600</v>
          </cell>
          <cell r="H283">
            <v>11.029333333333332</v>
          </cell>
          <cell r="I283">
            <v>13.696</v>
          </cell>
        </row>
        <row r="284">
          <cell r="A284" t="str">
            <v>Ready To Drink1750</v>
          </cell>
          <cell r="B284">
            <v>4.8066666666666666</v>
          </cell>
          <cell r="C284">
            <v>0.72</v>
          </cell>
          <cell r="E284">
            <v>1750</v>
          </cell>
          <cell r="H284">
            <v>12.063333333333333</v>
          </cell>
          <cell r="I284">
            <v>14.98</v>
          </cell>
        </row>
        <row r="285">
          <cell r="A285" t="str">
            <v>Ready To Drink1776</v>
          </cell>
          <cell r="B285">
            <v>4.8780800000000006</v>
          </cell>
          <cell r="C285">
            <v>0.72</v>
          </cell>
          <cell r="E285">
            <v>1776</v>
          </cell>
          <cell r="H285">
            <v>12.242559999999999</v>
          </cell>
          <cell r="I285">
            <v>15.20256</v>
          </cell>
        </row>
        <row r="286">
          <cell r="A286" t="str">
            <v>Ready To Drink1892</v>
          </cell>
          <cell r="B286">
            <v>5.1966933333333332</v>
          </cell>
          <cell r="C286">
            <v>0.72</v>
          </cell>
          <cell r="E286">
            <v>1892</v>
          </cell>
          <cell r="H286">
            <v>13.042186666666666</v>
          </cell>
          <cell r="I286">
            <v>16.195519999999998</v>
          </cell>
        </row>
        <row r="287">
          <cell r="A287" t="str">
            <v>Ready To Drink1980</v>
          </cell>
          <cell r="B287">
            <v>5.4384000000000006</v>
          </cell>
          <cell r="C287">
            <v>0.72</v>
          </cell>
          <cell r="E287">
            <v>1980</v>
          </cell>
          <cell r="H287">
            <v>13.6488</v>
          </cell>
          <cell r="I287">
            <v>16.948799999999999</v>
          </cell>
        </row>
        <row r="288">
          <cell r="A288" t="str">
            <v>Ready To Drink2000</v>
          </cell>
          <cell r="B288">
            <v>5.4933333333333332</v>
          </cell>
          <cell r="C288">
            <v>0.72</v>
          </cell>
          <cell r="E288">
            <v>2000</v>
          </cell>
          <cell r="H288">
            <v>13.786666666666665</v>
          </cell>
          <cell r="I288">
            <v>17.12</v>
          </cell>
        </row>
        <row r="289">
          <cell r="A289" t="str">
            <v>Ready To Drink2046</v>
          </cell>
          <cell r="B289">
            <v>5.6196800000000007</v>
          </cell>
          <cell r="C289">
            <v>0.72</v>
          </cell>
          <cell r="E289">
            <v>2046</v>
          </cell>
          <cell r="H289">
            <v>14.103759999999999</v>
          </cell>
          <cell r="I289">
            <v>17.513760000000001</v>
          </cell>
        </row>
        <row r="290">
          <cell r="A290" t="str">
            <v>Ready To Drink2130</v>
          </cell>
          <cell r="B290">
            <v>5.8504000000000005</v>
          </cell>
          <cell r="C290">
            <v>0.72</v>
          </cell>
          <cell r="E290">
            <v>2130</v>
          </cell>
          <cell r="H290">
            <v>14.682799999999999</v>
          </cell>
          <cell r="I290">
            <v>18.232800000000001</v>
          </cell>
        </row>
        <row r="291">
          <cell r="A291" t="str">
            <v>Ready To Drink2832</v>
          </cell>
          <cell r="B291">
            <v>7.3896319999999998</v>
          </cell>
          <cell r="C291">
            <v>0.72</v>
          </cell>
          <cell r="E291">
            <v>2832</v>
          </cell>
          <cell r="H291">
            <v>18.545824</v>
          </cell>
          <cell r="I291">
            <v>23.029824000000001</v>
          </cell>
        </row>
        <row r="292">
          <cell r="A292" t="str">
            <v>Ready To Drink3000</v>
          </cell>
          <cell r="B292">
            <v>7.8280000000000003</v>
          </cell>
          <cell r="C292">
            <v>0.72</v>
          </cell>
          <cell r="E292">
            <v>3000</v>
          </cell>
          <cell r="H292">
            <v>19.645999999999997</v>
          </cell>
          <cell r="I292">
            <v>24.396000000000001</v>
          </cell>
        </row>
        <row r="293">
          <cell r="A293" t="str">
            <v>Ready To Drink3550</v>
          </cell>
          <cell r="B293">
            <v>9.2631333333333323</v>
          </cell>
          <cell r="C293">
            <v>0.72</v>
          </cell>
          <cell r="E293">
            <v>3550</v>
          </cell>
          <cell r="H293">
            <v>23.247766666666664</v>
          </cell>
          <cell r="I293">
            <v>28.868600000000001</v>
          </cell>
        </row>
        <row r="294">
          <cell r="A294" t="str">
            <v>Ready To Drink3960</v>
          </cell>
          <cell r="B294">
            <v>9.7891200000000005</v>
          </cell>
          <cell r="C294">
            <v>0.72</v>
          </cell>
          <cell r="E294">
            <v>3960</v>
          </cell>
          <cell r="H294">
            <v>24.567839999999997</v>
          </cell>
          <cell r="I294">
            <v>30.507839999999998</v>
          </cell>
        </row>
        <row r="295">
          <cell r="A295" t="str">
            <v>Ready To Drink4092</v>
          </cell>
          <cell r="B295">
            <v>10.115424000000001</v>
          </cell>
          <cell r="C295">
            <v>0.72</v>
          </cell>
          <cell r="E295">
            <v>4092</v>
          </cell>
          <cell r="H295">
            <v>25.386767999999996</v>
          </cell>
          <cell r="I295">
            <v>31.524767999999998</v>
          </cell>
        </row>
        <row r="296">
          <cell r="A296" t="str">
            <v>Ready To Drink4260</v>
          </cell>
          <cell r="B296">
            <v>10.530720000000001</v>
          </cell>
          <cell r="C296">
            <v>0.72</v>
          </cell>
          <cell r="E296">
            <v>4260</v>
          </cell>
          <cell r="H296">
            <v>26.429039999999997</v>
          </cell>
          <cell r="I296">
            <v>32.819040000000001</v>
          </cell>
        </row>
        <row r="297">
          <cell r="A297" t="str">
            <v>Ready To Drink5000</v>
          </cell>
          <cell r="B297">
            <v>12.360000000000001</v>
          </cell>
          <cell r="C297">
            <v>0.72</v>
          </cell>
          <cell r="E297">
            <v>5000</v>
          </cell>
          <cell r="H297">
            <v>31.019999999999996</v>
          </cell>
          <cell r="I297">
            <v>38.519999999999996</v>
          </cell>
        </row>
        <row r="298">
          <cell r="A298" t="str">
            <v>Ready To Drink7920</v>
          </cell>
          <cell r="B298">
            <v>19.578240000000001</v>
          </cell>
          <cell r="C298">
            <v>0.72</v>
          </cell>
          <cell r="E298">
            <v>7920</v>
          </cell>
          <cell r="H298">
            <v>49.135679999999994</v>
          </cell>
          <cell r="I298">
            <v>61.015679999999996</v>
          </cell>
        </row>
        <row r="299">
          <cell r="A299" t="str">
            <v>Ready To Drink8184</v>
          </cell>
          <cell r="B299">
            <v>20.230848000000002</v>
          </cell>
          <cell r="C299">
            <v>0.72</v>
          </cell>
          <cell r="E299">
            <v>8184</v>
          </cell>
          <cell r="H299">
            <v>50.773535999999993</v>
          </cell>
          <cell r="I299">
            <v>63.049535999999996</v>
          </cell>
        </row>
        <row r="300">
          <cell r="A300" t="str">
            <v>Ready To Drink20000</v>
          </cell>
          <cell r="B300">
            <v>49.440000000000005</v>
          </cell>
          <cell r="C300">
            <v>0.72</v>
          </cell>
          <cell r="E300">
            <v>20000</v>
          </cell>
        </row>
        <row r="301">
          <cell r="A301" t="str">
            <v>Ready To Drink30000</v>
          </cell>
          <cell r="B301">
            <v>74.160000000000011</v>
          </cell>
          <cell r="C301">
            <v>0.72</v>
          </cell>
          <cell r="E301">
            <v>30000</v>
          </cell>
        </row>
        <row r="302">
          <cell r="A302" t="str">
            <v>Ready To Drink50000</v>
          </cell>
          <cell r="B302">
            <v>123.60000000000001</v>
          </cell>
          <cell r="C302">
            <v>0.72</v>
          </cell>
          <cell r="E302">
            <v>50000</v>
          </cell>
        </row>
        <row r="303">
          <cell r="A303" t="str">
            <v>Spirit20</v>
          </cell>
          <cell r="B303">
            <v>0.33</v>
          </cell>
          <cell r="C303">
            <v>1</v>
          </cell>
          <cell r="E303">
            <v>20</v>
          </cell>
          <cell r="H303">
            <v>0.80298666666666674</v>
          </cell>
          <cell r="I303">
            <v>1.0837333333333332</v>
          </cell>
          <cell r="J303">
            <v>1.346986666666667</v>
          </cell>
          <cell r="K303">
            <v>1.6149333333333336</v>
          </cell>
        </row>
        <row r="304">
          <cell r="A304" t="str">
            <v>Spirit30</v>
          </cell>
          <cell r="B304">
            <v>0.49</v>
          </cell>
          <cell r="C304">
            <v>1</v>
          </cell>
          <cell r="E304">
            <v>30</v>
          </cell>
          <cell r="H304">
            <v>1.20448</v>
          </cell>
          <cell r="I304">
            <v>1.6255999999999999</v>
          </cell>
          <cell r="J304">
            <v>2.0204800000000005</v>
          </cell>
          <cell r="K304">
            <v>2.4224000000000001</v>
          </cell>
        </row>
        <row r="305">
          <cell r="A305" t="str">
            <v>Spirit40</v>
          </cell>
          <cell r="B305">
            <v>0.66</v>
          </cell>
          <cell r="C305">
            <v>1</v>
          </cell>
          <cell r="E305">
            <v>40</v>
          </cell>
          <cell r="H305">
            <v>1.6059733333333335</v>
          </cell>
          <cell r="I305">
            <v>2.1674666666666664</v>
          </cell>
          <cell r="J305">
            <v>2.693973333333334</v>
          </cell>
          <cell r="K305">
            <v>3.2298666666666671</v>
          </cell>
        </row>
        <row r="306">
          <cell r="A306" t="str">
            <v>Spirit50</v>
          </cell>
          <cell r="B306">
            <v>0.82</v>
          </cell>
          <cell r="C306">
            <v>1</v>
          </cell>
          <cell r="E306">
            <v>50</v>
          </cell>
          <cell r="H306">
            <v>2.0074666666666667</v>
          </cell>
          <cell r="I306">
            <v>2.7093333333333329</v>
          </cell>
          <cell r="J306">
            <v>3.3674666666666671</v>
          </cell>
          <cell r="K306">
            <v>4.0373333333333337</v>
          </cell>
        </row>
        <row r="307">
          <cell r="A307" t="str">
            <v>Spirit60</v>
          </cell>
          <cell r="B307">
            <v>0.98</v>
          </cell>
          <cell r="C307">
            <v>1</v>
          </cell>
          <cell r="E307">
            <v>60</v>
          </cell>
          <cell r="H307">
            <v>2.40896</v>
          </cell>
          <cell r="I307">
            <v>3.2511999999999999</v>
          </cell>
          <cell r="J307">
            <v>4.040960000000001</v>
          </cell>
          <cell r="K307">
            <v>4.8448000000000002</v>
          </cell>
        </row>
      </sheetData>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Model"/>
      <sheetName val="Pricing Model Beer"/>
      <sheetName val="Pricing Model No Cost value"/>
      <sheetName val="CURRENCY"/>
      <sheetName val="FREIGHT RATES"/>
      <sheetName val="CLASSIFICATION"/>
      <sheetName val="Markup"/>
      <sheetName val="Duty"/>
      <sheetName val="BottleDeposit"/>
      <sheetName val="ListingType"/>
      <sheetName val="Excise Grouping"/>
    </sheetNames>
    <sheetDataSet>
      <sheetData sheetId="0"/>
      <sheetData sheetId="1"/>
      <sheetData sheetId="2"/>
      <sheetData sheetId="3"/>
      <sheetData sheetId="4">
        <row r="1">
          <cell r="A1" t="str">
            <v>Destination</v>
          </cell>
          <cell r="B1" t="str">
            <v>Rate</v>
          </cell>
        </row>
        <row r="2">
          <cell r="A2" t="str">
            <v>No Freight</v>
          </cell>
          <cell r="B2">
            <v>0</v>
          </cell>
        </row>
        <row r="3">
          <cell r="A3" t="str">
            <v>Rock Spirits</v>
          </cell>
          <cell r="B3">
            <v>2.3400000000000001E-2</v>
          </cell>
        </row>
        <row r="4">
          <cell r="A4" t="str">
            <v>Newfoundland - Griquet</v>
          </cell>
          <cell r="B4">
            <v>1.6087</v>
          </cell>
        </row>
        <row r="5">
          <cell r="A5" t="str">
            <v>Nova Scotia</v>
          </cell>
          <cell r="B5">
            <v>0.2944</v>
          </cell>
        </row>
        <row r="6">
          <cell r="A6" t="str">
            <v>New Brunswick</v>
          </cell>
          <cell r="B6">
            <v>0.31030000000000002</v>
          </cell>
        </row>
        <row r="7">
          <cell r="A7" t="str">
            <v>Ontario</v>
          </cell>
          <cell r="B7">
            <v>0.4819</v>
          </cell>
        </row>
        <row r="8">
          <cell r="A8" t="str">
            <v>Ontario - Winsor</v>
          </cell>
          <cell r="B8">
            <v>0.5</v>
          </cell>
        </row>
        <row r="9">
          <cell r="A9" t="str">
            <v>Ontario - Amherstburg</v>
          </cell>
          <cell r="B9">
            <v>0.50649999999999995</v>
          </cell>
        </row>
        <row r="10">
          <cell r="A10" t="str">
            <v>Quebec</v>
          </cell>
          <cell r="B10">
            <v>0.40749999999999997</v>
          </cell>
        </row>
        <row r="11">
          <cell r="A11" t="str">
            <v>Quebec - Rate 2010</v>
          </cell>
          <cell r="B11">
            <v>0.66669999999999996</v>
          </cell>
        </row>
        <row r="12">
          <cell r="A12" t="str">
            <v>Quebec - Primavin Inc.</v>
          </cell>
          <cell r="B12">
            <v>1.44E-2</v>
          </cell>
        </row>
        <row r="13">
          <cell r="A13" t="str">
            <v>Alberta</v>
          </cell>
          <cell r="B13">
            <v>1.089</v>
          </cell>
        </row>
        <row r="14">
          <cell r="A14" t="str">
            <v>British Columbia</v>
          </cell>
          <cell r="B14">
            <v>0.9506</v>
          </cell>
        </row>
        <row r="15">
          <cell r="A15" t="str">
            <v>Argentina</v>
          </cell>
          <cell r="B15">
            <v>0.82799999999999996</v>
          </cell>
        </row>
        <row r="16">
          <cell r="A16" t="str">
            <v>Australia</v>
          </cell>
          <cell r="B16">
            <v>0.77180000000000004</v>
          </cell>
        </row>
        <row r="17">
          <cell r="A17" t="str">
            <v>Austria - FOB -  Belgium</v>
          </cell>
          <cell r="B17">
            <v>0.9778</v>
          </cell>
        </row>
        <row r="18">
          <cell r="A18" t="str">
            <v>Belgium</v>
          </cell>
          <cell r="B18">
            <v>0.9778</v>
          </cell>
        </row>
        <row r="19">
          <cell r="A19" t="str">
            <v>Bulgaria</v>
          </cell>
          <cell r="B19">
            <v>0.9778</v>
          </cell>
        </row>
        <row r="20">
          <cell r="A20" t="str">
            <v>Chile</v>
          </cell>
          <cell r="B20">
            <v>0.67220000000000002</v>
          </cell>
        </row>
        <row r="21">
          <cell r="A21" t="str">
            <v>Finland</v>
          </cell>
          <cell r="B21">
            <v>2.8984999999999999</v>
          </cell>
        </row>
        <row r="22">
          <cell r="A22" t="str">
            <v>France</v>
          </cell>
          <cell r="B22">
            <v>1.3071999999999999</v>
          </cell>
        </row>
        <row r="23">
          <cell r="A23" t="str">
            <v>Germany - FOB - Belgium</v>
          </cell>
          <cell r="B23">
            <v>0.9778</v>
          </cell>
        </row>
        <row r="24">
          <cell r="A24" t="str">
            <v>Greece</v>
          </cell>
          <cell r="B24">
            <v>1.6585000000000001</v>
          </cell>
        </row>
        <row r="25">
          <cell r="A25" t="str">
            <v>Holland - FOB - Belguim</v>
          </cell>
          <cell r="B25">
            <v>0.9778</v>
          </cell>
        </row>
        <row r="26">
          <cell r="A26" t="str">
            <v>Hungary - FOB - Belguim</v>
          </cell>
          <cell r="B26">
            <v>0.9778</v>
          </cell>
        </row>
        <row r="27">
          <cell r="A27" t="str">
            <v>Ireland</v>
          </cell>
          <cell r="B27">
            <v>0.76970000000000005</v>
          </cell>
        </row>
        <row r="28">
          <cell r="A28" t="str">
            <v>Italy</v>
          </cell>
          <cell r="B28">
            <v>0.89600000000000002</v>
          </cell>
        </row>
        <row r="29">
          <cell r="A29" t="str">
            <v>Jamaica</v>
          </cell>
          <cell r="B29">
            <v>0.82609999999999995</v>
          </cell>
        </row>
        <row r="30">
          <cell r="A30" t="str">
            <v>Manitoba ( Smith &amp; Doyle )</v>
          </cell>
          <cell r="B30">
            <v>0</v>
          </cell>
        </row>
        <row r="31">
          <cell r="A31" t="str">
            <v>New Zealand</v>
          </cell>
          <cell r="B31">
            <v>0.6794</v>
          </cell>
        </row>
        <row r="32">
          <cell r="A32" t="str">
            <v>Portugal</v>
          </cell>
          <cell r="B32">
            <v>1.1843999999999999</v>
          </cell>
        </row>
        <row r="33">
          <cell r="A33" t="str">
            <v>South Africa</v>
          </cell>
          <cell r="B33">
            <v>0.85399999999999998</v>
          </cell>
        </row>
        <row r="34">
          <cell r="A34" t="str">
            <v>Spain</v>
          </cell>
          <cell r="B34">
            <v>0.89500000000000002</v>
          </cell>
        </row>
        <row r="35">
          <cell r="A35" t="str">
            <v>Sweden - OY</v>
          </cell>
          <cell r="B35">
            <v>0</v>
          </cell>
        </row>
        <row r="36">
          <cell r="A36" t="str">
            <v>Sweden - ABS</v>
          </cell>
          <cell r="B36">
            <v>0.69930000000000003</v>
          </cell>
        </row>
        <row r="37">
          <cell r="A37" t="str">
            <v>United Kingdom</v>
          </cell>
          <cell r="B37">
            <v>0.51770000000000005</v>
          </cell>
        </row>
        <row r="38">
          <cell r="A38" t="str">
            <v>USA - Arkansas</v>
          </cell>
          <cell r="B38">
            <v>1.2833000000000001</v>
          </cell>
        </row>
        <row r="39">
          <cell r="A39" t="str">
            <v>USA - California</v>
          </cell>
          <cell r="B39">
            <v>1.2398</v>
          </cell>
        </row>
        <row r="40">
          <cell r="A40" t="str">
            <v>USA - Illinois</v>
          </cell>
          <cell r="B40">
            <v>0.86099999999999999</v>
          </cell>
        </row>
        <row r="41">
          <cell r="A41" t="str">
            <v>USA - Kentucky</v>
          </cell>
          <cell r="B41">
            <v>1.0535000000000001</v>
          </cell>
        </row>
        <row r="42">
          <cell r="A42" t="str">
            <v>USA - Maine</v>
          </cell>
          <cell r="B42">
            <v>0.79530000000000001</v>
          </cell>
        </row>
        <row r="43">
          <cell r="A43" t="str">
            <v>USA - Maryland</v>
          </cell>
          <cell r="B43">
            <v>0.95009999999999994</v>
          </cell>
        </row>
        <row r="44">
          <cell r="A44" t="str">
            <v>USA - Minnesota</v>
          </cell>
          <cell r="B44">
            <v>0.81840000000000002</v>
          </cell>
        </row>
        <row r="45">
          <cell r="A45" t="str">
            <v>USA - Missouri</v>
          </cell>
          <cell r="B45">
            <v>1.4137999999999999</v>
          </cell>
        </row>
        <row r="46">
          <cell r="A46" t="str">
            <v>USA - New Jersey</v>
          </cell>
          <cell r="B46">
            <v>0.88980000000000004</v>
          </cell>
        </row>
        <row r="47">
          <cell r="A47" t="str">
            <v>USA - New York</v>
          </cell>
          <cell r="B47">
            <v>0.73319999999999996</v>
          </cell>
        </row>
        <row r="48">
          <cell r="A48" t="str">
            <v>USA - Ohio</v>
          </cell>
          <cell r="B48">
            <v>1.1958</v>
          </cell>
        </row>
        <row r="49">
          <cell r="A49" t="str">
            <v>USA - Tennessee</v>
          </cell>
          <cell r="B49">
            <v>1.1067</v>
          </cell>
        </row>
        <row r="50">
          <cell r="A50" t="str">
            <v>Beaujolais Nouveau 2014</v>
          </cell>
          <cell r="B50">
            <v>8.5</v>
          </cell>
        </row>
        <row r="51">
          <cell r="A51" t="str">
            <v>Ridge Road Winery</v>
          </cell>
          <cell r="B51">
            <v>3.1219999999999999</v>
          </cell>
        </row>
        <row r="52">
          <cell r="A52" t="str">
            <v>Luckett Vineyards</v>
          </cell>
          <cell r="B52">
            <v>2.4889000000000001</v>
          </cell>
        </row>
        <row r="53">
          <cell r="A53" t="str">
            <v>13th Street Winery</v>
          </cell>
          <cell r="B53">
            <v>2.5</v>
          </cell>
        </row>
        <row r="54">
          <cell r="A54" t="str">
            <v>Beaujolais Nouveau 2008</v>
          </cell>
          <cell r="B54">
            <v>95.9</v>
          </cell>
        </row>
        <row r="55">
          <cell r="A55" t="str">
            <v>Beaujolais Nouveau 2009</v>
          </cell>
          <cell r="B55">
            <v>87.62</v>
          </cell>
        </row>
        <row r="56">
          <cell r="A56" t="str">
            <v>Beaujolais Nouveau 2010</v>
          </cell>
          <cell r="B56">
            <v>104.68</v>
          </cell>
        </row>
        <row r="57">
          <cell r="A57" t="str">
            <v>Beaujolais Nouveau 2011</v>
          </cell>
          <cell r="B57">
            <v>81.430000000000007</v>
          </cell>
        </row>
        <row r="58">
          <cell r="A58" t="str">
            <v>Beaujolais Nouveau 2012</v>
          </cell>
          <cell r="B58">
            <v>9.34</v>
          </cell>
        </row>
        <row r="59">
          <cell r="A59" t="str">
            <v>Beaujolais Nouveau 2013</v>
          </cell>
          <cell r="B59">
            <v>8.9964999999999993</v>
          </cell>
        </row>
        <row r="60">
          <cell r="A60" t="str">
            <v>Beaujolais Nouveau 2014</v>
          </cell>
          <cell r="B60">
            <v>8.5</v>
          </cell>
        </row>
        <row r="61">
          <cell r="A61" t="str">
            <v>Beaujolais Nouveau 2015</v>
          </cell>
          <cell r="B61">
            <v>10.93</v>
          </cell>
        </row>
        <row r="62">
          <cell r="A62" t="str">
            <v>Beaujolais Nouveau 2017</v>
          </cell>
          <cell r="B62">
            <v>8.39</v>
          </cell>
        </row>
        <row r="63">
          <cell r="A63" t="str">
            <v>Beaujolais Nouveau 2018</v>
          </cell>
          <cell r="B63">
            <v>9.6199999999999992</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0</v>
          </cell>
          <cell r="B177">
            <v>0</v>
          </cell>
        </row>
        <row r="178">
          <cell r="A178">
            <v>0</v>
          </cell>
          <cell r="B178">
            <v>0</v>
          </cell>
        </row>
        <row r="179">
          <cell r="A179">
            <v>0</v>
          </cell>
          <cell r="B179">
            <v>0</v>
          </cell>
        </row>
        <row r="180">
          <cell r="A180">
            <v>0</v>
          </cell>
          <cell r="B180">
            <v>0</v>
          </cell>
        </row>
        <row r="181">
          <cell r="A181">
            <v>0</v>
          </cell>
          <cell r="B181">
            <v>0</v>
          </cell>
        </row>
        <row r="182">
          <cell r="A182">
            <v>0</v>
          </cell>
          <cell r="B182">
            <v>0</v>
          </cell>
        </row>
        <row r="183">
          <cell r="A183">
            <v>0</v>
          </cell>
          <cell r="B183">
            <v>0</v>
          </cell>
        </row>
        <row r="184">
          <cell r="A184">
            <v>0</v>
          </cell>
          <cell r="B184">
            <v>0</v>
          </cell>
        </row>
        <row r="185">
          <cell r="A185">
            <v>0</v>
          </cell>
          <cell r="B185">
            <v>0</v>
          </cell>
        </row>
        <row r="186">
          <cell r="A186">
            <v>0</v>
          </cell>
          <cell r="B186">
            <v>0</v>
          </cell>
        </row>
        <row r="187">
          <cell r="A187">
            <v>0</v>
          </cell>
          <cell r="B187">
            <v>0</v>
          </cell>
        </row>
        <row r="188">
          <cell r="A188">
            <v>0</v>
          </cell>
          <cell r="B188">
            <v>0</v>
          </cell>
        </row>
        <row r="189">
          <cell r="A189">
            <v>0</v>
          </cell>
          <cell r="B189">
            <v>0</v>
          </cell>
        </row>
        <row r="190">
          <cell r="A190">
            <v>0</v>
          </cell>
          <cell r="B190">
            <v>0</v>
          </cell>
        </row>
        <row r="191">
          <cell r="A191">
            <v>0</v>
          </cell>
          <cell r="B191">
            <v>0</v>
          </cell>
        </row>
        <row r="192">
          <cell r="A192">
            <v>0</v>
          </cell>
          <cell r="B192">
            <v>0</v>
          </cell>
        </row>
        <row r="193">
          <cell r="A193">
            <v>0</v>
          </cell>
          <cell r="B193">
            <v>0</v>
          </cell>
        </row>
        <row r="194">
          <cell r="A194">
            <v>0</v>
          </cell>
          <cell r="B194">
            <v>0</v>
          </cell>
        </row>
        <row r="195">
          <cell r="A195">
            <v>0</v>
          </cell>
          <cell r="B195">
            <v>0</v>
          </cell>
        </row>
        <row r="196">
          <cell r="A196">
            <v>0</v>
          </cell>
          <cell r="B196">
            <v>0</v>
          </cell>
        </row>
        <row r="197">
          <cell r="A197">
            <v>0</v>
          </cell>
          <cell r="B197">
            <v>0</v>
          </cell>
        </row>
        <row r="198">
          <cell r="A198">
            <v>0</v>
          </cell>
          <cell r="B198">
            <v>0</v>
          </cell>
        </row>
        <row r="199">
          <cell r="A199">
            <v>0</v>
          </cell>
          <cell r="B199">
            <v>0</v>
          </cell>
        </row>
        <row r="200">
          <cell r="A200">
            <v>0</v>
          </cell>
          <cell r="B200">
            <v>0</v>
          </cell>
        </row>
        <row r="201">
          <cell r="A201">
            <v>0</v>
          </cell>
          <cell r="B201">
            <v>0</v>
          </cell>
        </row>
        <row r="202">
          <cell r="A202">
            <v>0</v>
          </cell>
          <cell r="B202">
            <v>0</v>
          </cell>
        </row>
        <row r="203">
          <cell r="A203">
            <v>0</v>
          </cell>
          <cell r="B203">
            <v>0</v>
          </cell>
        </row>
        <row r="204">
          <cell r="A204">
            <v>0</v>
          </cell>
          <cell r="B204">
            <v>0</v>
          </cell>
        </row>
        <row r="205">
          <cell r="A205">
            <v>0</v>
          </cell>
          <cell r="B205">
            <v>0</v>
          </cell>
        </row>
        <row r="206">
          <cell r="A206">
            <v>0</v>
          </cell>
          <cell r="B206">
            <v>0</v>
          </cell>
        </row>
        <row r="207">
          <cell r="A207">
            <v>0</v>
          </cell>
          <cell r="B207">
            <v>0</v>
          </cell>
        </row>
        <row r="208">
          <cell r="A208">
            <v>0</v>
          </cell>
          <cell r="B208">
            <v>0</v>
          </cell>
        </row>
        <row r="209">
          <cell r="A209">
            <v>0</v>
          </cell>
          <cell r="B209">
            <v>0</v>
          </cell>
        </row>
        <row r="210">
          <cell r="A210">
            <v>0</v>
          </cell>
          <cell r="B210">
            <v>0</v>
          </cell>
        </row>
        <row r="211">
          <cell r="A211">
            <v>0</v>
          </cell>
          <cell r="B211">
            <v>0</v>
          </cell>
        </row>
        <row r="212">
          <cell r="A212">
            <v>0</v>
          </cell>
          <cell r="B212">
            <v>0</v>
          </cell>
        </row>
        <row r="213">
          <cell r="A213">
            <v>0</v>
          </cell>
          <cell r="B213">
            <v>0</v>
          </cell>
        </row>
        <row r="214">
          <cell r="A214">
            <v>0</v>
          </cell>
          <cell r="B214">
            <v>0</v>
          </cell>
        </row>
        <row r="215">
          <cell r="A215">
            <v>0</v>
          </cell>
          <cell r="B215">
            <v>0</v>
          </cell>
        </row>
        <row r="216">
          <cell r="A216">
            <v>0</v>
          </cell>
          <cell r="B216">
            <v>0</v>
          </cell>
        </row>
        <row r="217">
          <cell r="A217">
            <v>0</v>
          </cell>
          <cell r="B217">
            <v>0</v>
          </cell>
        </row>
        <row r="218">
          <cell r="A218">
            <v>0</v>
          </cell>
          <cell r="B218">
            <v>0</v>
          </cell>
        </row>
        <row r="219">
          <cell r="A219">
            <v>0</v>
          </cell>
          <cell r="B219">
            <v>0</v>
          </cell>
        </row>
        <row r="220">
          <cell r="A220">
            <v>0</v>
          </cell>
          <cell r="B220">
            <v>0</v>
          </cell>
        </row>
        <row r="221">
          <cell r="A221">
            <v>0</v>
          </cell>
          <cell r="B221">
            <v>0</v>
          </cell>
        </row>
        <row r="222">
          <cell r="A222">
            <v>0</v>
          </cell>
          <cell r="B222">
            <v>0</v>
          </cell>
        </row>
        <row r="223">
          <cell r="A223">
            <v>0</v>
          </cell>
          <cell r="B223">
            <v>0</v>
          </cell>
        </row>
        <row r="224">
          <cell r="A224">
            <v>0</v>
          </cell>
          <cell r="B224">
            <v>0</v>
          </cell>
        </row>
        <row r="225">
          <cell r="A225">
            <v>0</v>
          </cell>
          <cell r="B225">
            <v>0</v>
          </cell>
        </row>
        <row r="226">
          <cell r="A226">
            <v>0</v>
          </cell>
          <cell r="B226">
            <v>0</v>
          </cell>
        </row>
        <row r="227">
          <cell r="A227">
            <v>0</v>
          </cell>
          <cell r="B227">
            <v>0</v>
          </cell>
        </row>
        <row r="228">
          <cell r="A228">
            <v>0</v>
          </cell>
          <cell r="B228">
            <v>0</v>
          </cell>
        </row>
        <row r="229">
          <cell r="A229">
            <v>0</v>
          </cell>
          <cell r="B229">
            <v>0</v>
          </cell>
        </row>
        <row r="230">
          <cell r="A230">
            <v>0</v>
          </cell>
          <cell r="B230">
            <v>0</v>
          </cell>
        </row>
        <row r="231">
          <cell r="A231">
            <v>0</v>
          </cell>
          <cell r="B231">
            <v>0</v>
          </cell>
        </row>
        <row r="232">
          <cell r="A232">
            <v>0</v>
          </cell>
          <cell r="B232">
            <v>0</v>
          </cell>
        </row>
        <row r="233">
          <cell r="A233">
            <v>0</v>
          </cell>
          <cell r="B233">
            <v>0</v>
          </cell>
        </row>
        <row r="234">
          <cell r="A234">
            <v>0</v>
          </cell>
          <cell r="B234">
            <v>0</v>
          </cell>
        </row>
        <row r="235">
          <cell r="A235">
            <v>0</v>
          </cell>
          <cell r="B235">
            <v>0</v>
          </cell>
        </row>
        <row r="236">
          <cell r="A236">
            <v>0</v>
          </cell>
          <cell r="B236">
            <v>0</v>
          </cell>
        </row>
        <row r="237">
          <cell r="A237">
            <v>0</v>
          </cell>
          <cell r="B237">
            <v>0</v>
          </cell>
        </row>
        <row r="238">
          <cell r="A238">
            <v>0</v>
          </cell>
          <cell r="B238">
            <v>0</v>
          </cell>
        </row>
        <row r="239">
          <cell r="A239">
            <v>0</v>
          </cell>
          <cell r="B239">
            <v>0</v>
          </cell>
        </row>
        <row r="240">
          <cell r="A240">
            <v>0</v>
          </cell>
          <cell r="B240">
            <v>0</v>
          </cell>
        </row>
        <row r="241">
          <cell r="A241">
            <v>0</v>
          </cell>
          <cell r="B241">
            <v>0</v>
          </cell>
        </row>
        <row r="242">
          <cell r="A242">
            <v>0</v>
          </cell>
          <cell r="B242">
            <v>0</v>
          </cell>
        </row>
        <row r="243">
          <cell r="A243">
            <v>0</v>
          </cell>
          <cell r="B243">
            <v>0</v>
          </cell>
        </row>
        <row r="244">
          <cell r="A244">
            <v>0</v>
          </cell>
          <cell r="B244">
            <v>0</v>
          </cell>
        </row>
        <row r="245">
          <cell r="A245">
            <v>0</v>
          </cell>
          <cell r="B245">
            <v>0</v>
          </cell>
        </row>
        <row r="246">
          <cell r="A246">
            <v>0</v>
          </cell>
          <cell r="B246">
            <v>0</v>
          </cell>
        </row>
        <row r="247">
          <cell r="A247">
            <v>0</v>
          </cell>
          <cell r="B247">
            <v>0</v>
          </cell>
        </row>
        <row r="248">
          <cell r="A248">
            <v>0</v>
          </cell>
          <cell r="B248">
            <v>0</v>
          </cell>
        </row>
        <row r="249">
          <cell r="A249">
            <v>0</v>
          </cell>
          <cell r="B249">
            <v>0</v>
          </cell>
        </row>
        <row r="250">
          <cell r="A250">
            <v>0</v>
          </cell>
          <cell r="B250">
            <v>0</v>
          </cell>
        </row>
        <row r="251">
          <cell r="A251">
            <v>0</v>
          </cell>
          <cell r="B251">
            <v>0</v>
          </cell>
        </row>
        <row r="252">
          <cell r="A252">
            <v>0</v>
          </cell>
          <cell r="B252">
            <v>0</v>
          </cell>
        </row>
        <row r="253">
          <cell r="A253">
            <v>0</v>
          </cell>
          <cell r="B253">
            <v>0</v>
          </cell>
        </row>
        <row r="254">
          <cell r="A254">
            <v>0</v>
          </cell>
          <cell r="B254">
            <v>0</v>
          </cell>
        </row>
        <row r="255">
          <cell r="A255">
            <v>0</v>
          </cell>
          <cell r="B255">
            <v>0</v>
          </cell>
        </row>
        <row r="256">
          <cell r="A256">
            <v>0</v>
          </cell>
          <cell r="B256">
            <v>0</v>
          </cell>
        </row>
        <row r="257">
          <cell r="A257">
            <v>0</v>
          </cell>
          <cell r="B257">
            <v>0</v>
          </cell>
        </row>
        <row r="258">
          <cell r="A258">
            <v>0</v>
          </cell>
          <cell r="B258">
            <v>0</v>
          </cell>
        </row>
        <row r="259">
          <cell r="A259">
            <v>0</v>
          </cell>
          <cell r="B259">
            <v>0</v>
          </cell>
        </row>
        <row r="260">
          <cell r="A260">
            <v>0</v>
          </cell>
          <cell r="B260">
            <v>0</v>
          </cell>
        </row>
        <row r="261">
          <cell r="A261">
            <v>0</v>
          </cell>
          <cell r="B261">
            <v>0</v>
          </cell>
        </row>
        <row r="262">
          <cell r="A262">
            <v>0</v>
          </cell>
          <cell r="B262">
            <v>0</v>
          </cell>
        </row>
        <row r="263">
          <cell r="A263">
            <v>0</v>
          </cell>
          <cell r="B263">
            <v>0</v>
          </cell>
        </row>
        <row r="264">
          <cell r="A264">
            <v>0</v>
          </cell>
          <cell r="B264">
            <v>0</v>
          </cell>
        </row>
        <row r="265">
          <cell r="A265">
            <v>0</v>
          </cell>
          <cell r="B265">
            <v>0</v>
          </cell>
        </row>
        <row r="266">
          <cell r="A266">
            <v>0</v>
          </cell>
          <cell r="B266">
            <v>0</v>
          </cell>
        </row>
        <row r="267">
          <cell r="A267">
            <v>0</v>
          </cell>
          <cell r="B267">
            <v>0</v>
          </cell>
        </row>
        <row r="268">
          <cell r="A268">
            <v>0</v>
          </cell>
          <cell r="B268">
            <v>0</v>
          </cell>
        </row>
        <row r="269">
          <cell r="A269">
            <v>0</v>
          </cell>
          <cell r="B269">
            <v>0</v>
          </cell>
        </row>
        <row r="270">
          <cell r="A270">
            <v>0</v>
          </cell>
          <cell r="B270">
            <v>0</v>
          </cell>
        </row>
        <row r="271">
          <cell r="A271">
            <v>0</v>
          </cell>
          <cell r="B271">
            <v>0</v>
          </cell>
        </row>
        <row r="272">
          <cell r="A272">
            <v>0</v>
          </cell>
          <cell r="B272">
            <v>0</v>
          </cell>
        </row>
        <row r="273">
          <cell r="A273">
            <v>0</v>
          </cell>
          <cell r="B273">
            <v>0</v>
          </cell>
        </row>
        <row r="274">
          <cell r="A274">
            <v>0</v>
          </cell>
          <cell r="B274">
            <v>0</v>
          </cell>
        </row>
        <row r="275">
          <cell r="A275">
            <v>0</v>
          </cell>
          <cell r="B275">
            <v>0</v>
          </cell>
        </row>
        <row r="276">
          <cell r="A276">
            <v>0</v>
          </cell>
          <cell r="B276">
            <v>0</v>
          </cell>
        </row>
        <row r="277">
          <cell r="A277">
            <v>0</v>
          </cell>
          <cell r="B277">
            <v>0</v>
          </cell>
        </row>
        <row r="278">
          <cell r="A278">
            <v>0</v>
          </cell>
          <cell r="B278">
            <v>0</v>
          </cell>
        </row>
        <row r="279">
          <cell r="A279">
            <v>0</v>
          </cell>
          <cell r="B279">
            <v>0</v>
          </cell>
        </row>
        <row r="280">
          <cell r="A280">
            <v>0</v>
          </cell>
          <cell r="B280">
            <v>0</v>
          </cell>
        </row>
        <row r="281">
          <cell r="A281">
            <v>0</v>
          </cell>
          <cell r="B281">
            <v>0</v>
          </cell>
        </row>
        <row r="282">
          <cell r="A282">
            <v>0</v>
          </cell>
          <cell r="B282">
            <v>0</v>
          </cell>
        </row>
        <row r="283">
          <cell r="A283">
            <v>0</v>
          </cell>
          <cell r="B283">
            <v>0</v>
          </cell>
        </row>
        <row r="284">
          <cell r="A284">
            <v>0</v>
          </cell>
          <cell r="B284">
            <v>0</v>
          </cell>
        </row>
        <row r="285">
          <cell r="A285">
            <v>0</v>
          </cell>
          <cell r="B285">
            <v>0</v>
          </cell>
        </row>
        <row r="286">
          <cell r="A286">
            <v>0</v>
          </cell>
          <cell r="B286">
            <v>0</v>
          </cell>
        </row>
        <row r="287">
          <cell r="A287">
            <v>0</v>
          </cell>
          <cell r="B287">
            <v>0</v>
          </cell>
        </row>
        <row r="288">
          <cell r="A288">
            <v>0</v>
          </cell>
          <cell r="B288">
            <v>0</v>
          </cell>
        </row>
        <row r="289">
          <cell r="A289">
            <v>0</v>
          </cell>
          <cell r="B289">
            <v>0</v>
          </cell>
        </row>
        <row r="290">
          <cell r="A290">
            <v>0</v>
          </cell>
          <cell r="B290">
            <v>0</v>
          </cell>
        </row>
        <row r="291">
          <cell r="A291">
            <v>0</v>
          </cell>
          <cell r="B291">
            <v>0</v>
          </cell>
        </row>
        <row r="292">
          <cell r="A292">
            <v>0</v>
          </cell>
          <cell r="B292">
            <v>0</v>
          </cell>
        </row>
        <row r="293">
          <cell r="A293">
            <v>0</v>
          </cell>
          <cell r="B293">
            <v>0</v>
          </cell>
        </row>
        <row r="294">
          <cell r="A294">
            <v>0</v>
          </cell>
          <cell r="B294">
            <v>0</v>
          </cell>
        </row>
        <row r="295">
          <cell r="A295">
            <v>0</v>
          </cell>
          <cell r="B295">
            <v>0</v>
          </cell>
        </row>
        <row r="296">
          <cell r="A296">
            <v>0</v>
          </cell>
          <cell r="B296">
            <v>0</v>
          </cell>
        </row>
        <row r="297">
          <cell r="A297">
            <v>0</v>
          </cell>
          <cell r="B297">
            <v>0</v>
          </cell>
        </row>
        <row r="298">
          <cell r="A298">
            <v>0</v>
          </cell>
          <cell r="B298">
            <v>0</v>
          </cell>
        </row>
        <row r="299">
          <cell r="A299">
            <v>0</v>
          </cell>
          <cell r="B299">
            <v>0</v>
          </cell>
        </row>
        <row r="300">
          <cell r="A300">
            <v>0</v>
          </cell>
          <cell r="B300">
            <v>0</v>
          </cell>
        </row>
        <row r="301">
          <cell r="A301">
            <v>0</v>
          </cell>
          <cell r="B301">
            <v>0</v>
          </cell>
        </row>
        <row r="302">
          <cell r="A302">
            <v>0</v>
          </cell>
          <cell r="B302">
            <v>0</v>
          </cell>
        </row>
        <row r="303">
          <cell r="A303">
            <v>0</v>
          </cell>
          <cell r="B303">
            <v>0</v>
          </cell>
        </row>
        <row r="304">
          <cell r="A304">
            <v>0</v>
          </cell>
          <cell r="B304">
            <v>0</v>
          </cell>
        </row>
        <row r="305">
          <cell r="A305">
            <v>0</v>
          </cell>
          <cell r="B305">
            <v>0</v>
          </cell>
        </row>
        <row r="306">
          <cell r="A306">
            <v>0</v>
          </cell>
          <cell r="B306">
            <v>0</v>
          </cell>
        </row>
        <row r="307">
          <cell r="A307">
            <v>0</v>
          </cell>
          <cell r="B307">
            <v>0</v>
          </cell>
        </row>
        <row r="308">
          <cell r="A308">
            <v>0</v>
          </cell>
          <cell r="B308">
            <v>0</v>
          </cell>
        </row>
        <row r="309">
          <cell r="A309">
            <v>0</v>
          </cell>
          <cell r="B309">
            <v>0</v>
          </cell>
        </row>
        <row r="310">
          <cell r="A310">
            <v>0</v>
          </cell>
          <cell r="B310">
            <v>0</v>
          </cell>
        </row>
        <row r="311">
          <cell r="A311">
            <v>0</v>
          </cell>
          <cell r="B311">
            <v>0</v>
          </cell>
        </row>
        <row r="312">
          <cell r="A312">
            <v>0</v>
          </cell>
          <cell r="B312">
            <v>0</v>
          </cell>
        </row>
        <row r="313">
          <cell r="A313">
            <v>0</v>
          </cell>
          <cell r="B313">
            <v>0</v>
          </cell>
        </row>
        <row r="314">
          <cell r="A314">
            <v>0</v>
          </cell>
          <cell r="B314">
            <v>0</v>
          </cell>
        </row>
        <row r="315">
          <cell r="A315">
            <v>0</v>
          </cell>
          <cell r="B315">
            <v>0</v>
          </cell>
        </row>
        <row r="316">
          <cell r="A316">
            <v>0</v>
          </cell>
          <cell r="B316">
            <v>0</v>
          </cell>
        </row>
        <row r="317">
          <cell r="A317">
            <v>0</v>
          </cell>
          <cell r="B317">
            <v>0</v>
          </cell>
        </row>
        <row r="318">
          <cell r="A318">
            <v>0</v>
          </cell>
          <cell r="B318">
            <v>0</v>
          </cell>
        </row>
        <row r="319">
          <cell r="A319">
            <v>0</v>
          </cell>
          <cell r="B319">
            <v>0</v>
          </cell>
        </row>
        <row r="320">
          <cell r="A320">
            <v>0</v>
          </cell>
          <cell r="B320">
            <v>0</v>
          </cell>
        </row>
        <row r="321">
          <cell r="A321">
            <v>0</v>
          </cell>
          <cell r="B321">
            <v>0</v>
          </cell>
        </row>
        <row r="322">
          <cell r="A322">
            <v>0</v>
          </cell>
          <cell r="B322">
            <v>0</v>
          </cell>
        </row>
        <row r="323">
          <cell r="A323">
            <v>0</v>
          </cell>
          <cell r="B323">
            <v>0</v>
          </cell>
        </row>
        <row r="324">
          <cell r="A324">
            <v>0</v>
          </cell>
          <cell r="B324">
            <v>0</v>
          </cell>
        </row>
        <row r="325">
          <cell r="A325">
            <v>0</v>
          </cell>
          <cell r="B325">
            <v>0</v>
          </cell>
        </row>
        <row r="326">
          <cell r="A326">
            <v>0</v>
          </cell>
          <cell r="B326">
            <v>0</v>
          </cell>
        </row>
        <row r="327">
          <cell r="A327">
            <v>0</v>
          </cell>
          <cell r="B327">
            <v>0</v>
          </cell>
        </row>
        <row r="328">
          <cell r="A328">
            <v>0</v>
          </cell>
          <cell r="B328">
            <v>0</v>
          </cell>
        </row>
        <row r="329">
          <cell r="A329">
            <v>0</v>
          </cell>
          <cell r="B329">
            <v>0</v>
          </cell>
        </row>
        <row r="330">
          <cell r="A330">
            <v>0</v>
          </cell>
          <cell r="B330">
            <v>0</v>
          </cell>
        </row>
        <row r="331">
          <cell r="A331">
            <v>0</v>
          </cell>
          <cell r="B331">
            <v>0</v>
          </cell>
        </row>
        <row r="332">
          <cell r="A332">
            <v>0</v>
          </cell>
          <cell r="B332">
            <v>0</v>
          </cell>
        </row>
        <row r="333">
          <cell r="A333">
            <v>0</v>
          </cell>
          <cell r="B333">
            <v>0</v>
          </cell>
        </row>
        <row r="334">
          <cell r="A334">
            <v>0</v>
          </cell>
          <cell r="B334">
            <v>0</v>
          </cell>
        </row>
        <row r="335">
          <cell r="A335">
            <v>0</v>
          </cell>
          <cell r="B335">
            <v>0</v>
          </cell>
        </row>
        <row r="336">
          <cell r="A336">
            <v>0</v>
          </cell>
          <cell r="B336">
            <v>0</v>
          </cell>
        </row>
        <row r="337">
          <cell r="A337">
            <v>0</v>
          </cell>
          <cell r="B337">
            <v>0</v>
          </cell>
        </row>
        <row r="338">
          <cell r="A338">
            <v>0</v>
          </cell>
          <cell r="B338">
            <v>0</v>
          </cell>
        </row>
        <row r="339">
          <cell r="A339">
            <v>0</v>
          </cell>
          <cell r="B339">
            <v>0</v>
          </cell>
        </row>
        <row r="340">
          <cell r="A340">
            <v>0</v>
          </cell>
          <cell r="B340">
            <v>0</v>
          </cell>
        </row>
        <row r="341">
          <cell r="A341">
            <v>0</v>
          </cell>
          <cell r="B341">
            <v>0</v>
          </cell>
        </row>
        <row r="342">
          <cell r="A342">
            <v>0</v>
          </cell>
          <cell r="B342">
            <v>0</v>
          </cell>
        </row>
        <row r="343">
          <cell r="A343">
            <v>0</v>
          </cell>
          <cell r="B343">
            <v>0</v>
          </cell>
        </row>
        <row r="344">
          <cell r="A344">
            <v>0</v>
          </cell>
          <cell r="B344">
            <v>0</v>
          </cell>
        </row>
        <row r="345">
          <cell r="A345">
            <v>0</v>
          </cell>
          <cell r="B345">
            <v>0</v>
          </cell>
        </row>
        <row r="346">
          <cell r="A346">
            <v>0</v>
          </cell>
          <cell r="B346">
            <v>0</v>
          </cell>
        </row>
        <row r="347">
          <cell r="A347">
            <v>0</v>
          </cell>
          <cell r="B347">
            <v>0</v>
          </cell>
        </row>
        <row r="348">
          <cell r="A348">
            <v>0</v>
          </cell>
          <cell r="B348">
            <v>0</v>
          </cell>
        </row>
        <row r="349">
          <cell r="A349">
            <v>0</v>
          </cell>
          <cell r="B349">
            <v>0</v>
          </cell>
        </row>
        <row r="350">
          <cell r="A350">
            <v>0</v>
          </cell>
          <cell r="B350">
            <v>0</v>
          </cell>
        </row>
        <row r="351">
          <cell r="A351">
            <v>0</v>
          </cell>
          <cell r="B351">
            <v>0</v>
          </cell>
        </row>
        <row r="352">
          <cell r="A352">
            <v>0</v>
          </cell>
          <cell r="B352">
            <v>0</v>
          </cell>
        </row>
        <row r="353">
          <cell r="A353">
            <v>0</v>
          </cell>
          <cell r="B353">
            <v>0</v>
          </cell>
        </row>
        <row r="354">
          <cell r="A354">
            <v>0</v>
          </cell>
          <cell r="B354">
            <v>0</v>
          </cell>
        </row>
        <row r="355">
          <cell r="A355">
            <v>0</v>
          </cell>
          <cell r="B355">
            <v>0</v>
          </cell>
        </row>
        <row r="356">
          <cell r="A356">
            <v>0</v>
          </cell>
          <cell r="B356">
            <v>0</v>
          </cell>
        </row>
        <row r="357">
          <cell r="A357">
            <v>0</v>
          </cell>
          <cell r="B357">
            <v>0</v>
          </cell>
        </row>
        <row r="358">
          <cell r="A358">
            <v>0</v>
          </cell>
          <cell r="B358">
            <v>0</v>
          </cell>
        </row>
        <row r="359">
          <cell r="A359">
            <v>0</v>
          </cell>
          <cell r="B359">
            <v>0</v>
          </cell>
        </row>
        <row r="360">
          <cell r="A360">
            <v>0</v>
          </cell>
          <cell r="B360">
            <v>0</v>
          </cell>
        </row>
        <row r="361">
          <cell r="A361">
            <v>0</v>
          </cell>
          <cell r="B361">
            <v>0</v>
          </cell>
        </row>
        <row r="362">
          <cell r="A362">
            <v>0</v>
          </cell>
          <cell r="B362">
            <v>0</v>
          </cell>
        </row>
        <row r="363">
          <cell r="A363">
            <v>0</v>
          </cell>
          <cell r="B363">
            <v>0</v>
          </cell>
        </row>
        <row r="364">
          <cell r="A364">
            <v>0</v>
          </cell>
          <cell r="B364">
            <v>0</v>
          </cell>
        </row>
        <row r="365">
          <cell r="A365">
            <v>0</v>
          </cell>
          <cell r="B365">
            <v>0</v>
          </cell>
        </row>
        <row r="366">
          <cell r="A366">
            <v>0</v>
          </cell>
          <cell r="B366">
            <v>0</v>
          </cell>
        </row>
        <row r="367">
          <cell r="A367">
            <v>0</v>
          </cell>
          <cell r="B367">
            <v>0</v>
          </cell>
        </row>
        <row r="368">
          <cell r="A368">
            <v>0</v>
          </cell>
          <cell r="B368">
            <v>0</v>
          </cell>
        </row>
        <row r="369">
          <cell r="A369">
            <v>0</v>
          </cell>
          <cell r="B369">
            <v>0</v>
          </cell>
        </row>
        <row r="370">
          <cell r="A370">
            <v>0</v>
          </cell>
          <cell r="B370">
            <v>0</v>
          </cell>
        </row>
        <row r="371">
          <cell r="A371">
            <v>0</v>
          </cell>
          <cell r="B371">
            <v>0</v>
          </cell>
        </row>
        <row r="372">
          <cell r="A372">
            <v>0</v>
          </cell>
          <cell r="B372">
            <v>0</v>
          </cell>
        </row>
        <row r="373">
          <cell r="A373">
            <v>0</v>
          </cell>
          <cell r="B373">
            <v>0</v>
          </cell>
        </row>
        <row r="374">
          <cell r="A374">
            <v>0</v>
          </cell>
          <cell r="B374">
            <v>0</v>
          </cell>
        </row>
        <row r="375">
          <cell r="A375">
            <v>0</v>
          </cell>
          <cell r="B375">
            <v>0</v>
          </cell>
        </row>
        <row r="376">
          <cell r="A376">
            <v>0</v>
          </cell>
          <cell r="B376">
            <v>0</v>
          </cell>
        </row>
        <row r="377">
          <cell r="A377">
            <v>0</v>
          </cell>
          <cell r="B377">
            <v>0</v>
          </cell>
        </row>
        <row r="378">
          <cell r="A378">
            <v>0</v>
          </cell>
          <cell r="B378">
            <v>0</v>
          </cell>
        </row>
        <row r="379">
          <cell r="A379">
            <v>0</v>
          </cell>
          <cell r="B379">
            <v>0</v>
          </cell>
        </row>
        <row r="380">
          <cell r="A380">
            <v>0</v>
          </cell>
          <cell r="B380">
            <v>0</v>
          </cell>
        </row>
        <row r="381">
          <cell r="A381">
            <v>0</v>
          </cell>
          <cell r="B381">
            <v>0</v>
          </cell>
        </row>
        <row r="382">
          <cell r="A382">
            <v>0</v>
          </cell>
          <cell r="B382">
            <v>0</v>
          </cell>
        </row>
        <row r="383">
          <cell r="A383">
            <v>0</v>
          </cell>
          <cell r="B383">
            <v>0</v>
          </cell>
        </row>
        <row r="384">
          <cell r="A384">
            <v>0</v>
          </cell>
          <cell r="B384">
            <v>0</v>
          </cell>
        </row>
        <row r="385">
          <cell r="A385">
            <v>0</v>
          </cell>
          <cell r="B385">
            <v>0</v>
          </cell>
        </row>
        <row r="386">
          <cell r="A386">
            <v>0</v>
          </cell>
          <cell r="B386">
            <v>0</v>
          </cell>
        </row>
        <row r="387">
          <cell r="A387">
            <v>0</v>
          </cell>
          <cell r="B387">
            <v>0</v>
          </cell>
        </row>
        <row r="388">
          <cell r="A388">
            <v>0</v>
          </cell>
          <cell r="B388">
            <v>0</v>
          </cell>
        </row>
        <row r="389">
          <cell r="A389">
            <v>0</v>
          </cell>
          <cell r="B389">
            <v>0</v>
          </cell>
        </row>
        <row r="390">
          <cell r="A390">
            <v>0</v>
          </cell>
          <cell r="B390">
            <v>0</v>
          </cell>
        </row>
        <row r="391">
          <cell r="A391">
            <v>0</v>
          </cell>
          <cell r="B391">
            <v>0</v>
          </cell>
        </row>
        <row r="392">
          <cell r="A392">
            <v>0</v>
          </cell>
          <cell r="B392">
            <v>0</v>
          </cell>
        </row>
        <row r="393">
          <cell r="A393">
            <v>0</v>
          </cell>
          <cell r="B393">
            <v>0</v>
          </cell>
        </row>
        <row r="394">
          <cell r="A394">
            <v>0</v>
          </cell>
          <cell r="B394">
            <v>0</v>
          </cell>
        </row>
        <row r="395">
          <cell r="A395">
            <v>0</v>
          </cell>
          <cell r="B395">
            <v>0</v>
          </cell>
        </row>
        <row r="396">
          <cell r="A396">
            <v>0</v>
          </cell>
          <cell r="B396">
            <v>0</v>
          </cell>
        </row>
        <row r="397">
          <cell r="A397">
            <v>0</v>
          </cell>
          <cell r="B397">
            <v>0</v>
          </cell>
        </row>
        <row r="398">
          <cell r="A398">
            <v>0</v>
          </cell>
          <cell r="B398">
            <v>0</v>
          </cell>
        </row>
        <row r="399">
          <cell r="A399">
            <v>0</v>
          </cell>
          <cell r="B399">
            <v>0</v>
          </cell>
        </row>
        <row r="400">
          <cell r="A400">
            <v>0</v>
          </cell>
          <cell r="B400">
            <v>0</v>
          </cell>
        </row>
        <row r="401">
          <cell r="A401">
            <v>0</v>
          </cell>
          <cell r="B401">
            <v>0</v>
          </cell>
        </row>
        <row r="402">
          <cell r="A402">
            <v>0</v>
          </cell>
          <cell r="B402">
            <v>0</v>
          </cell>
        </row>
        <row r="403">
          <cell r="A403">
            <v>0</v>
          </cell>
          <cell r="B403">
            <v>0</v>
          </cell>
        </row>
        <row r="404">
          <cell r="A404">
            <v>0</v>
          </cell>
          <cell r="B404">
            <v>0</v>
          </cell>
        </row>
        <row r="405">
          <cell r="A405">
            <v>0</v>
          </cell>
          <cell r="B405">
            <v>0</v>
          </cell>
        </row>
        <row r="406">
          <cell r="A406">
            <v>0</v>
          </cell>
          <cell r="B406">
            <v>0</v>
          </cell>
        </row>
        <row r="407">
          <cell r="A407">
            <v>0</v>
          </cell>
          <cell r="B407">
            <v>0</v>
          </cell>
        </row>
        <row r="408">
          <cell r="A408">
            <v>0</v>
          </cell>
          <cell r="B408">
            <v>0</v>
          </cell>
        </row>
        <row r="409">
          <cell r="A409">
            <v>0</v>
          </cell>
          <cell r="B409">
            <v>0</v>
          </cell>
        </row>
        <row r="410">
          <cell r="A410">
            <v>0</v>
          </cell>
          <cell r="B410">
            <v>0</v>
          </cell>
        </row>
        <row r="411">
          <cell r="A411">
            <v>0</v>
          </cell>
          <cell r="B411">
            <v>0</v>
          </cell>
        </row>
        <row r="412">
          <cell r="A412">
            <v>0</v>
          </cell>
          <cell r="B412">
            <v>0</v>
          </cell>
        </row>
        <row r="413">
          <cell r="A413">
            <v>0</v>
          </cell>
          <cell r="B413">
            <v>0</v>
          </cell>
        </row>
        <row r="414">
          <cell r="A414">
            <v>0</v>
          </cell>
          <cell r="B414">
            <v>0</v>
          </cell>
        </row>
        <row r="415">
          <cell r="A415">
            <v>0</v>
          </cell>
          <cell r="B415">
            <v>0</v>
          </cell>
        </row>
        <row r="416">
          <cell r="A416">
            <v>0</v>
          </cell>
          <cell r="B416">
            <v>0</v>
          </cell>
        </row>
        <row r="417">
          <cell r="A417">
            <v>0</v>
          </cell>
          <cell r="B417">
            <v>0</v>
          </cell>
        </row>
        <row r="418">
          <cell r="A418">
            <v>0</v>
          </cell>
          <cell r="B418">
            <v>0</v>
          </cell>
        </row>
        <row r="419">
          <cell r="A419">
            <v>0</v>
          </cell>
          <cell r="B419">
            <v>0</v>
          </cell>
        </row>
        <row r="420">
          <cell r="A420">
            <v>0</v>
          </cell>
          <cell r="B420">
            <v>0</v>
          </cell>
        </row>
        <row r="421">
          <cell r="A421">
            <v>0</v>
          </cell>
          <cell r="B421">
            <v>0</v>
          </cell>
        </row>
        <row r="422">
          <cell r="A422">
            <v>0</v>
          </cell>
          <cell r="B422">
            <v>0</v>
          </cell>
        </row>
        <row r="423">
          <cell r="A423">
            <v>0</v>
          </cell>
          <cell r="B423">
            <v>0</v>
          </cell>
        </row>
        <row r="424">
          <cell r="A424">
            <v>0</v>
          </cell>
          <cell r="B424">
            <v>0</v>
          </cell>
        </row>
        <row r="425">
          <cell r="A425">
            <v>0</v>
          </cell>
          <cell r="B425">
            <v>0</v>
          </cell>
        </row>
        <row r="426">
          <cell r="A426">
            <v>0</v>
          </cell>
          <cell r="B426">
            <v>0</v>
          </cell>
        </row>
        <row r="427">
          <cell r="A427">
            <v>0</v>
          </cell>
          <cell r="B427">
            <v>0</v>
          </cell>
        </row>
        <row r="428">
          <cell r="A428">
            <v>0</v>
          </cell>
          <cell r="B428">
            <v>0</v>
          </cell>
        </row>
        <row r="429">
          <cell r="A429">
            <v>0</v>
          </cell>
          <cell r="B429">
            <v>0</v>
          </cell>
        </row>
        <row r="430">
          <cell r="A430">
            <v>0</v>
          </cell>
          <cell r="B430">
            <v>0</v>
          </cell>
        </row>
        <row r="431">
          <cell r="A431">
            <v>0</v>
          </cell>
          <cell r="B431">
            <v>0</v>
          </cell>
        </row>
        <row r="432">
          <cell r="A432">
            <v>0</v>
          </cell>
          <cell r="B432">
            <v>0</v>
          </cell>
        </row>
        <row r="433">
          <cell r="A433">
            <v>0</v>
          </cell>
          <cell r="B433">
            <v>0</v>
          </cell>
        </row>
        <row r="434">
          <cell r="A434">
            <v>0</v>
          </cell>
          <cell r="B434">
            <v>0</v>
          </cell>
        </row>
        <row r="435">
          <cell r="A435">
            <v>0</v>
          </cell>
          <cell r="B435">
            <v>0</v>
          </cell>
        </row>
        <row r="436">
          <cell r="A436">
            <v>0</v>
          </cell>
          <cell r="B436">
            <v>0</v>
          </cell>
        </row>
        <row r="437">
          <cell r="A437">
            <v>0</v>
          </cell>
          <cell r="B437">
            <v>0</v>
          </cell>
        </row>
        <row r="438">
          <cell r="A438">
            <v>0</v>
          </cell>
          <cell r="B438">
            <v>0</v>
          </cell>
        </row>
        <row r="439">
          <cell r="A439">
            <v>0</v>
          </cell>
          <cell r="B439">
            <v>0</v>
          </cell>
        </row>
        <row r="440">
          <cell r="A440">
            <v>0</v>
          </cell>
          <cell r="B440">
            <v>0</v>
          </cell>
        </row>
        <row r="441">
          <cell r="A441">
            <v>0</v>
          </cell>
          <cell r="B441">
            <v>0</v>
          </cell>
        </row>
        <row r="442">
          <cell r="A442">
            <v>0</v>
          </cell>
          <cell r="B442">
            <v>0</v>
          </cell>
        </row>
        <row r="443">
          <cell r="A443">
            <v>0</v>
          </cell>
          <cell r="B443">
            <v>0</v>
          </cell>
        </row>
        <row r="444">
          <cell r="A444">
            <v>0</v>
          </cell>
          <cell r="B444">
            <v>0</v>
          </cell>
        </row>
        <row r="445">
          <cell r="A445">
            <v>0</v>
          </cell>
          <cell r="B445">
            <v>0</v>
          </cell>
        </row>
        <row r="446">
          <cell r="A446">
            <v>0</v>
          </cell>
          <cell r="B446">
            <v>0</v>
          </cell>
        </row>
        <row r="447">
          <cell r="A447">
            <v>0</v>
          </cell>
          <cell r="B447">
            <v>0</v>
          </cell>
        </row>
        <row r="448">
          <cell r="A448">
            <v>0</v>
          </cell>
          <cell r="B448">
            <v>0</v>
          </cell>
        </row>
        <row r="449">
          <cell r="A449">
            <v>0</v>
          </cell>
          <cell r="B449">
            <v>0</v>
          </cell>
        </row>
        <row r="450">
          <cell r="A450">
            <v>0</v>
          </cell>
          <cell r="B450">
            <v>0</v>
          </cell>
        </row>
        <row r="451">
          <cell r="A451">
            <v>0</v>
          </cell>
          <cell r="B451">
            <v>0</v>
          </cell>
        </row>
        <row r="452">
          <cell r="A452">
            <v>0</v>
          </cell>
          <cell r="B452">
            <v>0</v>
          </cell>
        </row>
        <row r="453">
          <cell r="A453">
            <v>0</v>
          </cell>
          <cell r="B453">
            <v>0</v>
          </cell>
        </row>
        <row r="454">
          <cell r="A454">
            <v>0</v>
          </cell>
          <cell r="B454">
            <v>0</v>
          </cell>
        </row>
        <row r="455">
          <cell r="A455">
            <v>0</v>
          </cell>
          <cell r="B455">
            <v>0</v>
          </cell>
        </row>
        <row r="456">
          <cell r="A456">
            <v>0</v>
          </cell>
          <cell r="B456">
            <v>0</v>
          </cell>
        </row>
        <row r="457">
          <cell r="A457">
            <v>0</v>
          </cell>
          <cell r="B457">
            <v>0</v>
          </cell>
        </row>
        <row r="458">
          <cell r="A458">
            <v>0</v>
          </cell>
          <cell r="B458">
            <v>0</v>
          </cell>
        </row>
        <row r="459">
          <cell r="A459">
            <v>0</v>
          </cell>
          <cell r="B459">
            <v>0</v>
          </cell>
        </row>
        <row r="460">
          <cell r="A460">
            <v>0</v>
          </cell>
          <cell r="B460">
            <v>0</v>
          </cell>
        </row>
        <row r="461">
          <cell r="A461">
            <v>0</v>
          </cell>
          <cell r="B461">
            <v>0</v>
          </cell>
        </row>
        <row r="462">
          <cell r="B462">
            <v>0</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icki.young@nlliquor.com" TargetMode="External"/><Relationship Id="rId1" Type="http://schemas.openxmlformats.org/officeDocument/2006/relationships/hyperlink" Target="mailto:tammy.brenton@nlliquor.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bsa-asfc.gc.ca/trade-commerce/tariff-tarif/2017/menu-eng.html"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353"/>
  <sheetViews>
    <sheetView showGridLines="0" tabSelected="1" zoomScaleNormal="100" workbookViewId="0">
      <selection activeCell="C11" sqref="C11:H11"/>
    </sheetView>
  </sheetViews>
  <sheetFormatPr defaultRowHeight="15" x14ac:dyDescent="0.2"/>
  <cols>
    <col min="1" max="1" width="6.44140625" style="5" customWidth="1"/>
    <col min="2" max="2" width="14.5546875" style="5" customWidth="1"/>
    <col min="3" max="3" width="8.33203125" style="5" customWidth="1"/>
    <col min="4" max="4" width="13.21875" style="5" customWidth="1"/>
    <col min="5" max="5" width="22" style="5" customWidth="1"/>
    <col min="6" max="6" width="9.77734375" style="5" customWidth="1"/>
    <col min="7" max="7" width="8.33203125" style="5" customWidth="1"/>
    <col min="8" max="8" width="16.33203125" style="5" customWidth="1"/>
    <col min="9" max="9" width="8.88671875" style="5"/>
    <col min="10" max="10" width="8.88671875" style="5" customWidth="1"/>
    <col min="11" max="11" width="8.88671875" hidden="1" customWidth="1"/>
    <col min="12" max="12" width="21.88671875" hidden="1" customWidth="1"/>
    <col min="13" max="14" width="8.88671875" hidden="1" customWidth="1"/>
    <col min="15" max="15" width="36.44140625" hidden="1" customWidth="1"/>
    <col min="16" max="32" width="8.88671875" hidden="1" customWidth="1"/>
    <col min="33" max="33" width="17.77734375" hidden="1" customWidth="1"/>
    <col min="34" max="66" width="8.88671875" hidden="1" customWidth="1"/>
    <col min="67" max="67" width="30" hidden="1" customWidth="1"/>
    <col min="68" max="71" width="8.88671875" hidden="1" customWidth="1"/>
    <col min="72" max="72" width="37.77734375" hidden="1" customWidth="1"/>
    <col min="73" max="78" width="8.88671875" customWidth="1"/>
  </cols>
  <sheetData>
    <row r="1" spans="1:70" s="1" customFormat="1" ht="15.75" customHeight="1" x14ac:dyDescent="0.2">
      <c r="A1" s="49"/>
      <c r="B1" s="49"/>
      <c r="C1" s="49"/>
      <c r="D1" s="49"/>
      <c r="E1" s="49"/>
      <c r="F1" s="49"/>
      <c r="G1"/>
      <c r="H1"/>
      <c r="I1" s="10"/>
      <c r="J1" s="10"/>
      <c r="BI1" s="1" t="s">
        <v>18</v>
      </c>
      <c r="BM1" s="25" t="s">
        <v>26</v>
      </c>
      <c r="BO1" s="26" t="s">
        <v>30</v>
      </c>
      <c r="BR1" s="25" t="s">
        <v>45</v>
      </c>
    </row>
    <row r="2" spans="1:70" s="1" customFormat="1" x14ac:dyDescent="0.2">
      <c r="A2" s="49"/>
      <c r="B2" s="49"/>
      <c r="C2" s="49"/>
      <c r="D2" s="49"/>
      <c r="E2" s="49"/>
      <c r="F2" s="49"/>
      <c r="G2"/>
      <c r="H2"/>
      <c r="I2" s="10"/>
      <c r="J2" s="10"/>
      <c r="BI2" s="1" t="s">
        <v>19</v>
      </c>
      <c r="BM2" s="1" t="s">
        <v>28</v>
      </c>
      <c r="BO2" s="1" t="s">
        <v>31</v>
      </c>
      <c r="BR2" s="1" t="s">
        <v>47</v>
      </c>
    </row>
    <row r="3" spans="1:70" s="1" customFormat="1" ht="12.75" customHeight="1" x14ac:dyDescent="0.2">
      <c r="A3" s="49"/>
      <c r="B3" s="49"/>
      <c r="C3" s="49"/>
      <c r="D3" s="49"/>
      <c r="E3" s="49"/>
      <c r="F3" s="49"/>
      <c r="I3" s="10"/>
      <c r="J3" s="10"/>
      <c r="BM3" s="1" t="s">
        <v>27</v>
      </c>
      <c r="BO3" s="1" t="s">
        <v>32</v>
      </c>
      <c r="BR3" s="1" t="s">
        <v>48</v>
      </c>
    </row>
    <row r="4" spans="1:70" s="1" customFormat="1" ht="12.75" customHeight="1" thickBot="1" x14ac:dyDescent="0.25">
      <c r="A4" s="49"/>
      <c r="B4" s="49"/>
      <c r="C4" s="49"/>
      <c r="D4" s="49"/>
      <c r="E4" s="49"/>
      <c r="F4" s="49"/>
      <c r="I4" s="10"/>
      <c r="J4" s="10"/>
      <c r="BM4" s="1" t="s">
        <v>51</v>
      </c>
      <c r="BR4" s="1" t="s">
        <v>46</v>
      </c>
    </row>
    <row r="5" spans="1:70" s="1" customFormat="1" ht="12.75" customHeight="1" x14ac:dyDescent="0.2">
      <c r="A5" s="204" t="s">
        <v>1060</v>
      </c>
      <c r="B5" s="205"/>
      <c r="C5" s="206"/>
      <c r="D5" s="49"/>
      <c r="E5" s="49"/>
      <c r="F5" s="45" t="s">
        <v>147</v>
      </c>
      <c r="G5" s="45" t="s">
        <v>155</v>
      </c>
      <c r="H5" s="45" t="s">
        <v>148</v>
      </c>
      <c r="I5" s="10"/>
      <c r="J5" s="10"/>
      <c r="BM5" s="1" t="s">
        <v>52</v>
      </c>
      <c r="BR5" s="1" t="s">
        <v>49</v>
      </c>
    </row>
    <row r="6" spans="1:70" s="1" customFormat="1" ht="15.75" thickBot="1" x14ac:dyDescent="0.25">
      <c r="A6" s="207"/>
      <c r="B6" s="208"/>
      <c r="C6" s="209"/>
      <c r="D6" s="40"/>
      <c r="E6" s="16" t="s">
        <v>153</v>
      </c>
      <c r="F6" s="91"/>
      <c r="G6" s="91"/>
      <c r="H6" s="91"/>
      <c r="I6" s="10"/>
      <c r="J6" s="10"/>
      <c r="BM6" s="1" t="s">
        <v>53</v>
      </c>
      <c r="BR6" s="1" t="s">
        <v>50</v>
      </c>
    </row>
    <row r="7" spans="1:70" s="1" customFormat="1" ht="15.75" thickBot="1" x14ac:dyDescent="0.25">
      <c r="A7" s="116" t="s">
        <v>853</v>
      </c>
      <c r="B7" s="224">
        <v>44005</v>
      </c>
      <c r="C7" s="225"/>
      <c r="D7" s="40"/>
      <c r="E7" s="16" t="s">
        <v>152</v>
      </c>
      <c r="F7" s="217"/>
      <c r="G7" s="218"/>
      <c r="H7" s="219"/>
      <c r="I7" s="10"/>
      <c r="J7" s="10"/>
      <c r="BM7" s="1" t="s">
        <v>29</v>
      </c>
      <c r="BR7"/>
    </row>
    <row r="8" spans="1:70" s="1" customFormat="1" ht="6.75" customHeight="1" thickBot="1" x14ac:dyDescent="0.25">
      <c r="A8" s="40"/>
      <c r="B8" s="40"/>
      <c r="C8" s="40"/>
      <c r="D8" s="40"/>
      <c r="E8" s="100"/>
      <c r="F8" s="105"/>
      <c r="G8" s="105"/>
      <c r="H8" s="105"/>
      <c r="I8" s="10"/>
      <c r="J8" s="10"/>
      <c r="BR8"/>
    </row>
    <row r="9" spans="1:70" ht="16.5" customHeight="1" thickBot="1" x14ac:dyDescent="0.3">
      <c r="A9" s="46" t="s">
        <v>1</v>
      </c>
      <c r="B9" s="46"/>
      <c r="C9" s="46"/>
      <c r="D9" s="101"/>
      <c r="E9" s="102" t="s">
        <v>814</v>
      </c>
      <c r="F9" s="103"/>
      <c r="G9" s="103"/>
      <c r="H9" s="104"/>
    </row>
    <row r="10" spans="1:70" ht="9" customHeight="1" x14ac:dyDescent="0.25">
      <c r="A10" s="15"/>
      <c r="B10" s="15"/>
      <c r="C10" s="15"/>
      <c r="D10" s="15"/>
      <c r="E10" s="15"/>
      <c r="F10" s="15"/>
      <c r="G10" s="15"/>
      <c r="H10" s="15"/>
      <c r="L10" t="s">
        <v>18</v>
      </c>
    </row>
    <row r="11" spans="1:70" ht="19.5" customHeight="1" x14ac:dyDescent="0.2">
      <c r="A11" s="213" t="s">
        <v>2</v>
      </c>
      <c r="B11" s="213"/>
      <c r="C11" s="236"/>
      <c r="D11" s="237"/>
      <c r="E11" s="237"/>
      <c r="F11" s="237"/>
      <c r="G11" s="237"/>
      <c r="H11" s="238"/>
      <c r="L11" t="s">
        <v>19</v>
      </c>
    </row>
    <row r="12" spans="1:70" ht="19.5" customHeight="1" x14ac:dyDescent="0.2">
      <c r="A12" s="213" t="s">
        <v>533</v>
      </c>
      <c r="B12" s="213"/>
      <c r="C12" s="243"/>
      <c r="D12" s="244"/>
      <c r="E12" s="86" t="s">
        <v>787</v>
      </c>
      <c r="F12" s="220"/>
      <c r="G12" s="221"/>
      <c r="H12" s="221"/>
    </row>
    <row r="13" spans="1:70" ht="19.5" customHeight="1" x14ac:dyDescent="0.2">
      <c r="A13" s="16"/>
      <c r="B13" s="115" t="str">
        <f>IF(C12="Beer","Domestic/Import","Wine Style")</f>
        <v>Wine Style</v>
      </c>
      <c r="C13" s="214"/>
      <c r="D13" s="214"/>
      <c r="E13" s="214"/>
      <c r="F13" s="83" t="s">
        <v>395</v>
      </c>
      <c r="G13" s="52"/>
      <c r="H13" s="52"/>
      <c r="M13" s="94">
        <f>+C33</f>
        <v>0</v>
      </c>
      <c r="N13" t="str">
        <f>IF(M13&lt;=1,"Low Alcohol - Wine &amp; Sparkling",IF(AND(M13&gt;1,M13&lt;=7),"&lt;=7%",IF(AND(M13&gt;7,M13&lt;=13.7),"&gt;7%&lt;=13.7%",IF(AND(M13&gt;13.7,M13&lt;=14.9),"&gt;13.7%&lt;=14.9%",IF(AND(M13&gt;14.9,M13&lt;22.9),"&gt;14.9%&lt;=22.9%","&gt;22.9%")))))</f>
        <v>Low Alcohol - Wine &amp; Sparkling</v>
      </c>
      <c r="P13" t="str">
        <f>IF(C33&lt;=7,"&lt;=7%",IF(C33&gt;7&lt;=13.7,"&gt;7%&lt;=13.7%",IF(C33&gt;13.7&lt;=14.9,"&gt;13.7&lt;=14.9","Wrong Formula")))</f>
        <v>&lt;=7%</v>
      </c>
    </row>
    <row r="14" spans="1:70" ht="19.5" customHeight="1" x14ac:dyDescent="0.2">
      <c r="A14" s="16"/>
      <c r="B14" s="16" t="s">
        <v>91</v>
      </c>
      <c r="C14" s="233"/>
      <c r="D14" s="234"/>
      <c r="E14" s="235"/>
      <c r="F14" s="226" t="str">
        <f>IF(C14="Allocation","Enter Allocation in Cases"," ")</f>
        <v xml:space="preserve"> </v>
      </c>
      <c r="G14" s="227"/>
      <c r="H14"/>
      <c r="L14" s="82">
        <f>+C27*C28</f>
        <v>0</v>
      </c>
      <c r="M14" t="b">
        <f>IF(C12="Sparkling Wine",CONCATENATE(C12,M13))</f>
        <v>0</v>
      </c>
      <c r="AA14" t="s">
        <v>682</v>
      </c>
    </row>
    <row r="15" spans="1:70" ht="19.5" customHeight="1" x14ac:dyDescent="0.25">
      <c r="A15" s="16"/>
      <c r="B15" s="181" t="s">
        <v>737</v>
      </c>
      <c r="C15" s="181"/>
      <c r="D15" s="181"/>
      <c r="E15" s="181"/>
      <c r="F15" s="181"/>
      <c r="G15" s="181"/>
      <c r="H15" s="20"/>
      <c r="L15" t="str">
        <f>CONCATENATE(C12,L14)</f>
        <v>0</v>
      </c>
      <c r="M15" t="str">
        <f>CONCATENATE(F12,L14)</f>
        <v>0</v>
      </c>
      <c r="X15" t="s">
        <v>948</v>
      </c>
      <c r="AA15" t="s">
        <v>870</v>
      </c>
      <c r="AC15" t="str">
        <f>IF($C$12="Beer",AA15,X15)</f>
        <v>Ice Wine</v>
      </c>
      <c r="AD15" t="s">
        <v>173</v>
      </c>
      <c r="AG15" t="s">
        <v>495</v>
      </c>
      <c r="AH15" t="s">
        <v>889</v>
      </c>
      <c r="AJ15" t="str">
        <f>IF($C$12="Beer",AH15,AG15)</f>
        <v>Miniature</v>
      </c>
      <c r="AL15" s="93" t="s">
        <v>1057</v>
      </c>
    </row>
    <row r="16" spans="1:70" ht="19.5" customHeight="1" x14ac:dyDescent="0.2">
      <c r="A16" s="212" t="s">
        <v>169</v>
      </c>
      <c r="B16" s="212"/>
      <c r="C16" s="210"/>
      <c r="D16" s="211"/>
      <c r="E16" s="199" t="s">
        <v>165</v>
      </c>
      <c r="F16" s="200"/>
      <c r="G16" s="215" t="s">
        <v>167</v>
      </c>
      <c r="H16" s="216"/>
      <c r="L16" t="s">
        <v>505</v>
      </c>
      <c r="M16" s="81">
        <f>+C16</f>
        <v>0</v>
      </c>
      <c r="X16" t="s">
        <v>949</v>
      </c>
      <c r="AA16" t="s">
        <v>871</v>
      </c>
      <c r="AC16" t="str">
        <f>IF($C$12="Beer",AA16,X16)</f>
        <v>Kosher</v>
      </c>
      <c r="AD16" t="s">
        <v>166</v>
      </c>
      <c r="AG16" t="s">
        <v>496</v>
      </c>
      <c r="AH16" t="s">
        <v>890</v>
      </c>
      <c r="AJ16" t="str">
        <f t="shared" ref="AJ16:AJ19" si="0">IF($C$12="Beer",AH16,AG16)</f>
        <v>Bottle</v>
      </c>
      <c r="AL16" s="93" t="s">
        <v>1058</v>
      </c>
    </row>
    <row r="17" spans="1:72" ht="19.5" customHeight="1" x14ac:dyDescent="0.2">
      <c r="A17" s="82" t="str">
        <f>IF(C14="Gift Package","Cost of Packaging"," ")</f>
        <v xml:space="preserve"> </v>
      </c>
      <c r="B17" s="16"/>
      <c r="C17" s="229"/>
      <c r="D17" s="230"/>
      <c r="E17" s="13"/>
      <c r="F17" s="3" t="s">
        <v>529</v>
      </c>
      <c r="G17" s="228"/>
      <c r="H17" s="196"/>
      <c r="M17" s="81"/>
      <c r="P17" t="e">
        <f>VLOOKUP(G18,'Freight Point'!A:D,4,FALSE)</f>
        <v>#N/A</v>
      </c>
      <c r="Q17">
        <f>+'Origin Declaration'!D24</f>
        <v>0</v>
      </c>
      <c r="X17" t="s">
        <v>735</v>
      </c>
      <c r="AA17" t="s">
        <v>872</v>
      </c>
      <c r="AC17" t="str">
        <f>IF($C$12="Beer",AA17,X17)</f>
        <v>Low Alcohol</v>
      </c>
      <c r="AG17" t="s">
        <v>497</v>
      </c>
      <c r="AH17" t="s">
        <v>891</v>
      </c>
      <c r="AJ17" t="str">
        <f t="shared" si="0"/>
        <v>Can</v>
      </c>
      <c r="AL17" s="93" t="s">
        <v>1059</v>
      </c>
    </row>
    <row r="18" spans="1:72" ht="19.5" customHeight="1" x14ac:dyDescent="0.25">
      <c r="A18" s="16"/>
      <c r="B18" s="16" t="s">
        <v>164</v>
      </c>
      <c r="C18" s="222" t="str">
        <f>IFERROR(+M33,"")</f>
        <v/>
      </c>
      <c r="D18" s="223"/>
      <c r="E18" s="241" t="s">
        <v>171</v>
      </c>
      <c r="F18" s="242"/>
      <c r="G18" s="239"/>
      <c r="H18" s="240"/>
      <c r="I18" s="50"/>
      <c r="L18" t="s">
        <v>506</v>
      </c>
      <c r="M18" t="e">
        <f>VLOOKUP(C19,Currency!A:B,2,FALSE)</f>
        <v>#N/A</v>
      </c>
      <c r="P18" s="180" t="s">
        <v>486</v>
      </c>
      <c r="Q18" s="180" t="s">
        <v>487</v>
      </c>
      <c r="R18" s="180" t="s">
        <v>488</v>
      </c>
      <c r="S18" s="180" t="s">
        <v>489</v>
      </c>
      <c r="X18" t="s">
        <v>950</v>
      </c>
      <c r="AC18" t="str">
        <f t="shared" ref="AC18:AC25" si="1">IF($C$12="Beer",AA18,X18)</f>
        <v>Non - Alcohol</v>
      </c>
      <c r="AD18" t="s">
        <v>167</v>
      </c>
      <c r="AG18" t="s">
        <v>498</v>
      </c>
      <c r="AH18" t="s">
        <v>868</v>
      </c>
      <c r="AJ18" t="str">
        <f t="shared" si="0"/>
        <v>Tetra pack</v>
      </c>
    </row>
    <row r="19" spans="1:72" ht="19.5" customHeight="1" x14ac:dyDescent="0.2">
      <c r="A19" s="212" t="s">
        <v>3</v>
      </c>
      <c r="B19" s="212"/>
      <c r="C19" s="239"/>
      <c r="D19" s="240"/>
      <c r="E19" s="231" t="s">
        <v>1035</v>
      </c>
      <c r="F19" s="232"/>
      <c r="G19" s="239"/>
      <c r="H19" s="240"/>
      <c r="I19" s="50"/>
      <c r="L19" t="s">
        <v>507</v>
      </c>
      <c r="M19" t="e">
        <f>ROUND(+M16*M18,4)</f>
        <v>#N/A</v>
      </c>
      <c r="N19" s="99" t="e">
        <f>ROUND(+M19/G27,4)</f>
        <v>#N/A</v>
      </c>
      <c r="P19" s="180"/>
      <c r="Q19" s="180"/>
      <c r="R19" s="180"/>
      <c r="S19" s="180"/>
      <c r="X19" t="s">
        <v>392</v>
      </c>
      <c r="AC19" t="str">
        <f t="shared" si="1"/>
        <v>Organic - Certified</v>
      </c>
      <c r="AD19" s="51" t="s">
        <v>168</v>
      </c>
      <c r="AG19" t="s">
        <v>499</v>
      </c>
      <c r="AH19" t="s">
        <v>500</v>
      </c>
      <c r="AJ19" t="str">
        <f t="shared" si="0"/>
        <v>Bag</v>
      </c>
    </row>
    <row r="20" spans="1:72" ht="19.5" customHeight="1" x14ac:dyDescent="0.2">
      <c r="A20" s="212" t="s">
        <v>16</v>
      </c>
      <c r="B20" s="212"/>
      <c r="C20" s="201"/>
      <c r="D20" s="202"/>
      <c r="E20" s="241" t="s">
        <v>17</v>
      </c>
      <c r="F20" s="242"/>
      <c r="G20" s="201"/>
      <c r="H20" s="202"/>
      <c r="I20" s="50"/>
      <c r="L20" t="s">
        <v>508</v>
      </c>
      <c r="M20" t="e">
        <f>IF(C24="Yes",0,ROUND(IF($S$20="L",(($L$14*($C$33/100)*$G$27)*$R$20)/1000,IF($S$20="V",($M$16*$R$20),(($L$14*$G$27)*$R$20)/1000)),4))</f>
        <v>#N/A</v>
      </c>
      <c r="N20" t="e">
        <f>VLOOKUP(G19,Country!A:B,2,FALSE)</f>
        <v>#N/A</v>
      </c>
      <c r="O20" t="e">
        <f>IF(C12="Wine",CONCATENATE(C12,N13,N20),IF(C12="Sparkling Wine",CONCATENATE(C12,N13,N20),IF(C12="Ready To Drink",CONCATENATE(C12,N13,N20),CONCATENATE(F12,N20))))</f>
        <v>#N/A</v>
      </c>
      <c r="P20" t="e">
        <f>VLOOKUP($O$20,Duty!A:E,2,FALSE)</f>
        <v>#N/A</v>
      </c>
      <c r="Q20" t="e">
        <f>VLOOKUP($O$20,Duty!A:E,3,FALSE)</f>
        <v>#N/A</v>
      </c>
      <c r="R20" t="e">
        <f>VLOOKUP($O$20,Duty!A:E,4,FALSE)</f>
        <v>#N/A</v>
      </c>
      <c r="S20" t="e">
        <f>VLOOKUP($O$20,Duty!A:E,5,FALSE)</f>
        <v>#N/A</v>
      </c>
      <c r="X20" t="s">
        <v>869</v>
      </c>
      <c r="AC20" t="str">
        <f t="shared" si="1"/>
        <v>Organic - Organically Grow Grapes</v>
      </c>
      <c r="AD20" t="s">
        <v>170</v>
      </c>
      <c r="BT20" s="39" t="s">
        <v>85</v>
      </c>
    </row>
    <row r="21" spans="1:72" ht="19.5" customHeight="1" x14ac:dyDescent="0.2">
      <c r="A21" s="165"/>
      <c r="B21" s="165"/>
      <c r="C21" s="166"/>
      <c r="D21" s="166"/>
      <c r="E21" s="167"/>
      <c r="F21" s="167"/>
      <c r="G21" s="166"/>
      <c r="H21" s="166"/>
      <c r="I21" s="50"/>
      <c r="BT21" s="39"/>
    </row>
    <row r="22" spans="1:72" ht="14.25" customHeight="1" x14ac:dyDescent="0.25">
      <c r="A22" s="247" t="str">
        <f>IF($E$22=" "," ","Below Floor Pricing")</f>
        <v xml:space="preserve"> </v>
      </c>
      <c r="B22" s="247" t="str">
        <f>IF($C$46=" "," ","Below Floor Pricing")</f>
        <v>Below Floor Pricing</v>
      </c>
      <c r="C22" s="247" t="str">
        <f>IF($C$46=" "," ","Below Floor Pricing")</f>
        <v>Below Floor Pricing</v>
      </c>
      <c r="D22" s="247" t="str">
        <f>IF($C$46=" "," ","Below Floor Pricing")</f>
        <v>Below Floor Pricing</v>
      </c>
      <c r="E22" s="164" t="str">
        <f>IFERROR(IF($C$18&lt;$R$48,$R$48," "),"")</f>
        <v xml:space="preserve"> </v>
      </c>
      <c r="F22" s="97"/>
      <c r="G22" s="97"/>
      <c r="H22" s="97"/>
      <c r="I22" s="50"/>
      <c r="N22" s="99" t="e">
        <f>ROUND(+M20/G27,4)</f>
        <v>#N/A</v>
      </c>
      <c r="X22" t="s">
        <v>394</v>
      </c>
      <c r="AC22" t="str">
        <f t="shared" si="1"/>
        <v>Organic - Biodynamic</v>
      </c>
      <c r="BT22" s="39"/>
    </row>
    <row r="23" spans="1:72" ht="6" customHeight="1" x14ac:dyDescent="0.2">
      <c r="A23" s="16"/>
      <c r="B23" s="16"/>
      <c r="C23" s="20"/>
      <c r="D23" s="20"/>
      <c r="E23" s="22"/>
      <c r="F23" s="16"/>
      <c r="G23" s="21"/>
      <c r="H23" s="21"/>
      <c r="L23" t="s">
        <v>514</v>
      </c>
      <c r="M23" t="e">
        <f>IF(G24="Yes",0,ROUND(IF($Q$20="L",(($L$14*($C$33/100)*$G$27)*$P$20)/1000,IF($Q$20="V",($M$16*P20),(($L$14*$G$27)*$P$20)/1000)),4))</f>
        <v>#N/A</v>
      </c>
      <c r="N23" s="99" t="e">
        <f>ROUND(+M23/G27,4)</f>
        <v>#N/A</v>
      </c>
      <c r="X23" t="s">
        <v>951</v>
      </c>
      <c r="AC23" t="str">
        <f t="shared" si="1"/>
        <v>Unspecified</v>
      </c>
      <c r="BJ23" t="s">
        <v>87</v>
      </c>
      <c r="BM23" t="s">
        <v>392</v>
      </c>
      <c r="BT23" s="41" t="s">
        <v>92</v>
      </c>
    </row>
    <row r="24" spans="1:72" ht="27" customHeight="1" x14ac:dyDescent="0.2">
      <c r="A24" s="192" t="s">
        <v>547</v>
      </c>
      <c r="B24" s="192"/>
      <c r="C24" s="194" t="s">
        <v>19</v>
      </c>
      <c r="D24" s="194"/>
      <c r="E24" s="192" t="s">
        <v>548</v>
      </c>
      <c r="F24" s="192"/>
      <c r="G24" s="194" t="s">
        <v>19</v>
      </c>
      <c r="H24" s="194"/>
      <c r="L24" t="s">
        <v>515</v>
      </c>
      <c r="M24" t="e">
        <f>ROUND(VLOOKUP(G18,'Freight Point'!A:B,2,FALSE)*((G27*C27*C28)/1000),4)</f>
        <v>#N/A</v>
      </c>
      <c r="N24" s="99" t="e">
        <f>TRUNC(+M24/G27,4)</f>
        <v>#N/A</v>
      </c>
      <c r="X24" t="s">
        <v>952</v>
      </c>
      <c r="AC24" t="str">
        <f t="shared" si="1"/>
        <v>VQA - Canada</v>
      </c>
      <c r="BJ24" t="s">
        <v>88</v>
      </c>
      <c r="BM24" t="s">
        <v>393</v>
      </c>
      <c r="BO24" s="38"/>
      <c r="BT24" s="41" t="s">
        <v>93</v>
      </c>
    </row>
    <row r="25" spans="1:72" ht="29.25" customHeight="1" x14ac:dyDescent="0.25">
      <c r="A25" s="203" t="str">
        <f>IFERROR(IF(P17="No"," ","Complete Origin Declaration Form Attached and submit with Listing Application, if not completed MFN Tariff will apply and affect Final Retail"),"")</f>
        <v/>
      </c>
      <c r="B25" s="203"/>
      <c r="C25" s="203"/>
      <c r="D25" s="203"/>
      <c r="E25" s="203"/>
      <c r="F25" s="203"/>
      <c r="G25" s="203"/>
      <c r="H25" s="203"/>
      <c r="L25" t="s">
        <v>516</v>
      </c>
      <c r="M25" t="e">
        <f>ROUND(SUM(M19:M24),4)</f>
        <v>#N/A</v>
      </c>
      <c r="N25" t="e">
        <f>ROUND(+M19/G27,4)</f>
        <v>#N/A</v>
      </c>
      <c r="O25" t="e">
        <f>ROUND(+M20/G27,4)</f>
        <v>#N/A</v>
      </c>
      <c r="P25" t="e">
        <f>ROUND(+M23/G27,4)</f>
        <v>#N/A</v>
      </c>
      <c r="Q25" t="e">
        <f>ROUND(+M24/G27,4)</f>
        <v>#N/A</v>
      </c>
      <c r="X25" t="s">
        <v>953</v>
      </c>
      <c r="AC25" t="str">
        <f t="shared" si="1"/>
        <v>VQA - Ice Wine</v>
      </c>
      <c r="BJ25" t="s">
        <v>89</v>
      </c>
      <c r="BM25" t="s">
        <v>394</v>
      </c>
      <c r="BO25" s="38"/>
      <c r="BT25" s="41" t="s">
        <v>94</v>
      </c>
    </row>
    <row r="26" spans="1:72" ht="9" customHeight="1" x14ac:dyDescent="0.2">
      <c r="A26" s="252"/>
      <c r="B26" s="252"/>
      <c r="C26" s="252"/>
      <c r="D26" s="252"/>
      <c r="E26" s="252"/>
      <c r="F26" s="252"/>
      <c r="G26" s="252"/>
      <c r="H26" s="252"/>
      <c r="L26" t="s">
        <v>517</v>
      </c>
      <c r="M26" s="98" t="e">
        <f>TRUNC(M25/G27,2)</f>
        <v>#N/A</v>
      </c>
      <c r="N26" s="99" t="e">
        <f>ROUND(O26,2)</f>
        <v>#N/A</v>
      </c>
      <c r="O26" s="99" t="e">
        <f>TRUNC(+N19+N22+N23+N24,3)</f>
        <v>#N/A</v>
      </c>
      <c r="BJ26" t="s">
        <v>90</v>
      </c>
      <c r="BM26" s="93" t="s">
        <v>849</v>
      </c>
      <c r="BO26" s="38"/>
      <c r="BT26" s="41" t="s">
        <v>95</v>
      </c>
    </row>
    <row r="27" spans="1:72" ht="19.5" customHeight="1" x14ac:dyDescent="0.2">
      <c r="A27" s="173" t="s">
        <v>4</v>
      </c>
      <c r="B27" s="200"/>
      <c r="C27" s="193"/>
      <c r="D27" s="193"/>
      <c r="E27" s="199" t="s">
        <v>158</v>
      </c>
      <c r="F27" s="200"/>
      <c r="G27" s="193"/>
      <c r="H27" s="193"/>
      <c r="L27" t="s">
        <v>518</v>
      </c>
      <c r="M27" s="99" t="e">
        <f>ROUND(IF($C$12="Beer",VLOOKUP($M$15,Markup!A:B,2,FALSE),VLOOKUP($L$15,Markup!A:B,2,FALSE)),2)</f>
        <v>#N/A</v>
      </c>
      <c r="N27" t="e">
        <f>ROUND((+C17*M18)/G27,2)</f>
        <v>#N/A</v>
      </c>
      <c r="BM27" s="93" t="s">
        <v>850</v>
      </c>
      <c r="BO27" s="38"/>
      <c r="BT27" s="41" t="s">
        <v>96</v>
      </c>
    </row>
    <row r="28" spans="1:72" ht="19.5" customHeight="1" x14ac:dyDescent="0.2">
      <c r="A28" s="3"/>
      <c r="B28" s="14" t="s">
        <v>159</v>
      </c>
      <c r="C28" s="195"/>
      <c r="D28" s="196"/>
      <c r="E28" s="13"/>
      <c r="F28" s="14" t="s">
        <v>20</v>
      </c>
      <c r="G28" s="248"/>
      <c r="H28" s="249"/>
      <c r="L28" t="s">
        <v>520</v>
      </c>
      <c r="M28" t="e">
        <f>+N28</f>
        <v>#N/A</v>
      </c>
      <c r="N28" s="99" t="e">
        <f>ROUND(IF($C$12="Beer",VLOOKUP($M$15,Markup!A:C,3,FALSE),VLOOKUP($L$15,Markup!A:C,3,FALSE))*N26,2)</f>
        <v>#N/A</v>
      </c>
      <c r="BM28" s="93" t="s">
        <v>851</v>
      </c>
      <c r="BO28" s="38"/>
      <c r="BT28" s="37" t="s">
        <v>86</v>
      </c>
    </row>
    <row r="29" spans="1:72" ht="19.5" customHeight="1" x14ac:dyDescent="0.2">
      <c r="A29" s="173" t="s">
        <v>8</v>
      </c>
      <c r="B29" s="200"/>
      <c r="C29" s="195"/>
      <c r="D29" s="196"/>
      <c r="E29" s="199" t="s">
        <v>21</v>
      </c>
      <c r="F29" s="200"/>
      <c r="G29" s="250"/>
      <c r="H29" s="251"/>
      <c r="L29" t="s">
        <v>452</v>
      </c>
      <c r="M29" t="e">
        <f>ROUND((IF($C$12="Beer",VLOOKUP($M$15,Markup!A:D,4,FALSE),VLOOKUP($L$15,Markup!A:D,4,FALSE))*L14)/1000,2)</f>
        <v>#N/A</v>
      </c>
      <c r="BM29" s="93" t="s">
        <v>848</v>
      </c>
      <c r="BO29" s="38"/>
      <c r="BT29" s="41" t="s">
        <v>97</v>
      </c>
    </row>
    <row r="30" spans="1:72" ht="19.5" customHeight="1" x14ac:dyDescent="0.2">
      <c r="A30" s="173" t="s">
        <v>6</v>
      </c>
      <c r="B30" s="200"/>
      <c r="C30" s="195"/>
      <c r="D30" s="196"/>
      <c r="E30" s="199" t="s">
        <v>160</v>
      </c>
      <c r="F30" s="200"/>
      <c r="G30" s="193"/>
      <c r="H30" s="193"/>
      <c r="L30" t="s">
        <v>521</v>
      </c>
      <c r="M30" t="e">
        <f>+N26+M27+N28+M29+N27</f>
        <v>#N/A</v>
      </c>
      <c r="BO30" s="38"/>
      <c r="BT30" s="41" t="s">
        <v>98</v>
      </c>
    </row>
    <row r="31" spans="1:72" ht="19.5" customHeight="1" x14ac:dyDescent="0.2">
      <c r="A31" s="173" t="s">
        <v>7</v>
      </c>
      <c r="B31" s="200"/>
      <c r="C31" s="197"/>
      <c r="D31" s="198"/>
      <c r="E31" s="199" t="s">
        <v>22</v>
      </c>
      <c r="F31" s="200"/>
      <c r="G31" s="193"/>
      <c r="H31" s="193"/>
      <c r="L31" t="s">
        <v>522</v>
      </c>
      <c r="M31" t="e">
        <f>ROUND(+M30*0.15,2)</f>
        <v>#N/A</v>
      </c>
      <c r="BO31" s="38"/>
      <c r="BT31" s="41" t="s">
        <v>99</v>
      </c>
    </row>
    <row r="32" spans="1:72" ht="19.5" customHeight="1" x14ac:dyDescent="0.2">
      <c r="A32" s="173" t="s">
        <v>5</v>
      </c>
      <c r="B32" s="200"/>
      <c r="C32" s="253"/>
      <c r="D32" s="254"/>
      <c r="E32" s="199" t="s">
        <v>23</v>
      </c>
      <c r="F32" s="200"/>
      <c r="G32" s="193"/>
      <c r="H32" s="193"/>
      <c r="L32" t="s">
        <v>523</v>
      </c>
      <c r="M32" t="e">
        <f>IF(C12="Beer",VLOOKUP(D35,'Bottle Deposit'!A:B,2,FALSE)*C28,IF(C27&gt;5000,0,VLOOKUP(D35,'Bottle Deposit'!A:B,2,FALSE)*C28))</f>
        <v>#N/A</v>
      </c>
      <c r="BO32" s="38"/>
      <c r="BT32" s="41" t="s">
        <v>100</v>
      </c>
    </row>
    <row r="33" spans="1:72" ht="19.5" customHeight="1" x14ac:dyDescent="0.25">
      <c r="A33" s="3"/>
      <c r="B33" s="14" t="s">
        <v>15</v>
      </c>
      <c r="C33" s="245"/>
      <c r="D33" s="246"/>
      <c r="E33" s="183" t="str">
        <f>IF(C32&gt;18.9,"Case Weight Exceeds Maximum Case Weight - 18.9Kilos"," ")</f>
        <v xml:space="preserve"> </v>
      </c>
      <c r="F33" s="184"/>
      <c r="G33" s="184"/>
      <c r="H33" s="184"/>
      <c r="L33" t="s">
        <v>524</v>
      </c>
      <c r="M33" t="e">
        <f>SUM(M30:M32)</f>
        <v>#N/A</v>
      </c>
      <c r="BO33" s="38"/>
      <c r="BT33" s="41" t="s">
        <v>101</v>
      </c>
    </row>
    <row r="34" spans="1:72" ht="15" customHeight="1" x14ac:dyDescent="0.2">
      <c r="A34" s="3"/>
      <c r="B34" s="3"/>
      <c r="C34" s="23"/>
      <c r="D34" s="11"/>
      <c r="E34" s="3"/>
      <c r="F34" s="3"/>
      <c r="G34" s="24"/>
      <c r="H34" s="24"/>
      <c r="BO34" s="38"/>
      <c r="BT34" s="41" t="s">
        <v>102</v>
      </c>
    </row>
    <row r="35" spans="1:72" ht="19.5" customHeight="1" x14ac:dyDescent="0.2">
      <c r="A35" s="173" t="s">
        <v>24</v>
      </c>
      <c r="B35" s="173"/>
      <c r="C35" s="173"/>
      <c r="D35" s="178"/>
      <c r="E35" s="188"/>
      <c r="F35" s="179"/>
      <c r="G35" s="24"/>
      <c r="H35" s="24"/>
      <c r="BO35" s="38"/>
      <c r="BT35" s="41" t="s">
        <v>103</v>
      </c>
    </row>
    <row r="36" spans="1:72" ht="19.5" customHeight="1" x14ac:dyDescent="0.2">
      <c r="A36" s="173" t="s">
        <v>25</v>
      </c>
      <c r="B36" s="173"/>
      <c r="C36" s="173"/>
      <c r="D36" s="178"/>
      <c r="E36" s="188"/>
      <c r="F36" s="179"/>
      <c r="G36" s="24"/>
      <c r="H36" s="24"/>
      <c r="BO36" s="38"/>
      <c r="BT36" s="41" t="s">
        <v>104</v>
      </c>
    </row>
    <row r="37" spans="1:72" ht="9.75" customHeight="1" x14ac:dyDescent="0.2">
      <c r="A37" s="3"/>
      <c r="B37" s="3"/>
      <c r="C37" s="3"/>
      <c r="D37" s="11"/>
      <c r="E37" s="11"/>
      <c r="F37" s="11"/>
      <c r="G37" s="24"/>
      <c r="H37" s="24"/>
      <c r="L37" t="s">
        <v>742</v>
      </c>
      <c r="M37" t="str">
        <f>IF($C$18&lt;$R$48,$R$48," ")</f>
        <v xml:space="preserve"> </v>
      </c>
      <c r="O37" s="93" t="s">
        <v>745</v>
      </c>
      <c r="BO37" s="38"/>
      <c r="BT37" s="41" t="s">
        <v>105</v>
      </c>
    </row>
    <row r="38" spans="1:72" ht="18" customHeight="1" x14ac:dyDescent="0.2">
      <c r="A38" s="191" t="s">
        <v>139</v>
      </c>
      <c r="B38" s="191"/>
      <c r="C38" s="191"/>
      <c r="D38" s="191"/>
      <c r="E38" s="191"/>
      <c r="F38" s="191"/>
      <c r="G38" s="191"/>
      <c r="H38" s="191"/>
      <c r="M38" t="e">
        <f>IF(C12="Beer",VLOOKUP(M15,[1]Markup!A:K,8,FALSE),VLOOKUP(L15,[1]Markup!A:K,8,FALSE))</f>
        <v>#N/A</v>
      </c>
      <c r="N38" t="e">
        <f>VLOOKUP(L15,[1]Markup!A:K,9,FALSE)</f>
        <v>#N/A</v>
      </c>
      <c r="O38" t="e">
        <f>VLOOKUP(L15,[1]Markup!A:K,10,FALSE)</f>
        <v>#N/A</v>
      </c>
      <c r="P38" t="e">
        <f>VLOOKUP(L15,[1]Markup!A:K,11,FALSE)</f>
        <v>#N/A</v>
      </c>
      <c r="BO38" s="38"/>
      <c r="BT38" s="41" t="s">
        <v>106</v>
      </c>
    </row>
    <row r="39" spans="1:72" ht="18" customHeight="1" x14ac:dyDescent="0.2">
      <c r="A39" s="3"/>
      <c r="B39" s="3" t="s">
        <v>140</v>
      </c>
      <c r="C39" s="174"/>
      <c r="D39" s="175"/>
      <c r="E39" s="11"/>
      <c r="F39" s="154" t="s">
        <v>143</v>
      </c>
      <c r="G39" s="169"/>
      <c r="H39" s="170"/>
      <c r="L39" t="s">
        <v>549</v>
      </c>
      <c r="M39" t="b">
        <f>+IF($C$12="Spirit",M38)</f>
        <v>0</v>
      </c>
      <c r="N39" t="b">
        <f>+IF($C$12="Spirit",N38)</f>
        <v>0</v>
      </c>
      <c r="O39" t="b">
        <f>+IF($C$12="Spirit",O38)</f>
        <v>0</v>
      </c>
      <c r="P39" t="b">
        <f>+IF($C$12="Spirit",P38)</f>
        <v>0</v>
      </c>
      <c r="Q39" t="b">
        <f>IF($C$12="Spirit",(C33/100))</f>
        <v>0</v>
      </c>
      <c r="R39" t="b">
        <f>IF(Q39&lt;=0.349,M39,IF(Q39&gt;=0.451,O39,N39))</f>
        <v>0</v>
      </c>
      <c r="S39" t="b">
        <f>IF(Q39&gt;=0.6,P39)</f>
        <v>0</v>
      </c>
      <c r="BO39" s="38"/>
      <c r="BT39" s="41" t="s">
        <v>107</v>
      </c>
    </row>
    <row r="40" spans="1:72" ht="18" customHeight="1" x14ac:dyDescent="0.2">
      <c r="A40" s="3"/>
      <c r="B40" s="3" t="s">
        <v>142</v>
      </c>
      <c r="C40" s="189"/>
      <c r="D40" s="175"/>
      <c r="E40" s="11"/>
      <c r="F40" s="95" t="s">
        <v>746</v>
      </c>
      <c r="G40" s="171"/>
      <c r="H40" s="172"/>
      <c r="L40" t="s">
        <v>117</v>
      </c>
      <c r="M40" t="b">
        <f>+IF($C$12="Liqueur",M38)</f>
        <v>0</v>
      </c>
      <c r="N40" t="b">
        <f>+IF($C$12="Liqueur",N38)</f>
        <v>0</v>
      </c>
      <c r="O40" t="b">
        <f>+IF($C$12="Liqueur",O38)</f>
        <v>0</v>
      </c>
      <c r="P40" t="b">
        <f>+IF($C$12="Liqueur",P38)</f>
        <v>0</v>
      </c>
      <c r="Q40" t="b">
        <f>IF($C$12="Liqueur",(C33/100))</f>
        <v>0</v>
      </c>
      <c r="R40" t="b">
        <f>IF(Q40&lt;=0.349,M40,IF(Q40&gt;=0.451,O40,N40))</f>
        <v>0</v>
      </c>
      <c r="S40" t="b">
        <f>IF(Q40&gt;=0.6,P40)</f>
        <v>0</v>
      </c>
      <c r="BO40" s="38"/>
      <c r="BT40" s="41" t="s">
        <v>108</v>
      </c>
    </row>
    <row r="41" spans="1:72" ht="18" customHeight="1" x14ac:dyDescent="0.2">
      <c r="A41" s="3"/>
      <c r="B41" s="3" t="s">
        <v>141</v>
      </c>
      <c r="C41" s="185"/>
      <c r="D41" s="186"/>
      <c r="E41" s="186"/>
      <c r="F41" s="186"/>
      <c r="G41" s="186"/>
      <c r="H41" s="187"/>
      <c r="L41" t="s">
        <v>743</v>
      </c>
      <c r="M41" t="b">
        <f>+IF($C$12="Sparkling Wine",M38)</f>
        <v>0</v>
      </c>
      <c r="N41" t="b">
        <f>+IF($C$12="Sparkling Wine",N38)</f>
        <v>0</v>
      </c>
      <c r="Q41" t="b">
        <f>IF($C$96="Sparkling Wine",(C33/100))</f>
        <v>0</v>
      </c>
      <c r="R41" t="b">
        <f>IF(Q41&lt;0.15,M41,IF(Q41&gt;=0.15,N41))</f>
        <v>0</v>
      </c>
      <c r="BO41" s="38"/>
      <c r="BT41" s="41" t="s">
        <v>109</v>
      </c>
    </row>
    <row r="42" spans="1:72" ht="19.5" customHeight="1" x14ac:dyDescent="0.2">
      <c r="A42" s="3"/>
      <c r="B42" s="3"/>
      <c r="C42" s="3"/>
      <c r="D42" s="11"/>
      <c r="E42" s="11"/>
      <c r="F42" s="11"/>
      <c r="G42" s="24"/>
      <c r="H42" s="24"/>
      <c r="BO42" s="38"/>
      <c r="BT42" s="41" t="s">
        <v>110</v>
      </c>
    </row>
    <row r="43" spans="1:72" ht="18" customHeight="1" x14ac:dyDescent="0.2">
      <c r="A43" s="252" t="s">
        <v>137</v>
      </c>
      <c r="B43" s="252"/>
      <c r="C43" s="252"/>
      <c r="D43" s="252"/>
      <c r="E43" s="11"/>
      <c r="F43"/>
      <c r="G43"/>
      <c r="H43"/>
      <c r="L43" s="93" t="s">
        <v>448</v>
      </c>
      <c r="M43" t="b">
        <f>+IF($C$12="Ready To Drink",M38)</f>
        <v>0</v>
      </c>
      <c r="N43" t="b">
        <f>+IF($C$12="Ready To Drink",N38)</f>
        <v>0</v>
      </c>
      <c r="Q43" t="b">
        <f>IF($C$12="Ready To Drink",(C33/100))</f>
        <v>0</v>
      </c>
      <c r="R43" t="b">
        <f>IF(Q43&lt;0.07,M43,IF(Q43&gt;=0.07,N43))</f>
        <v>0</v>
      </c>
      <c r="BO43" s="38"/>
      <c r="BT43" s="41" t="s">
        <v>111</v>
      </c>
    </row>
    <row r="44" spans="1:72" ht="18" customHeight="1" x14ac:dyDescent="0.2">
      <c r="A44" s="27" t="s">
        <v>33</v>
      </c>
      <c r="B44" s="156"/>
      <c r="C44" s="156"/>
      <c r="D44" s="158" t="s">
        <v>37</v>
      </c>
      <c r="E44" s="27" t="s">
        <v>35</v>
      </c>
      <c r="F44" s="160"/>
      <c r="G44" s="160"/>
      <c r="H44" s="161" t="s">
        <v>37</v>
      </c>
      <c r="L44" t="s">
        <v>447</v>
      </c>
      <c r="M44" t="b">
        <f>+IF($C$12="Wine",M38)</f>
        <v>0</v>
      </c>
      <c r="N44" t="b">
        <f>+IF($C$12="Wine",N38)</f>
        <v>0</v>
      </c>
      <c r="Q44" t="b">
        <f>IF($C$12="Wine",(C33/100))</f>
        <v>0</v>
      </c>
      <c r="R44" t="b">
        <f>IF(Q44&lt;0.15,M44,IF(Q44&gt;=0.15,N44))</f>
        <v>0</v>
      </c>
      <c r="BO44" s="38"/>
      <c r="BT44" s="41" t="s">
        <v>112</v>
      </c>
    </row>
    <row r="45" spans="1:72" ht="18" customHeight="1" x14ac:dyDescent="0.2">
      <c r="A45" s="27" t="s">
        <v>34</v>
      </c>
      <c r="B45" s="157"/>
      <c r="C45" s="157"/>
      <c r="D45" s="159" t="s">
        <v>37</v>
      </c>
      <c r="E45" s="27" t="s">
        <v>36</v>
      </c>
      <c r="F45" s="156"/>
      <c r="G45" s="156"/>
      <c r="H45" s="158" t="s">
        <v>37</v>
      </c>
      <c r="L45" t="s">
        <v>550</v>
      </c>
      <c r="M45" t="b">
        <f>+IF($C$12="Beer",M38)</f>
        <v>0</v>
      </c>
      <c r="N45" t="b">
        <f>+IF($C$12="Beer",N38)</f>
        <v>0</v>
      </c>
      <c r="Q45" t="b">
        <f>IF($C$12="Beer",(C33/100))</f>
        <v>0</v>
      </c>
      <c r="R45" t="b">
        <f>IF(Q45&lt;0.15,M45,IF(Q45&gt;=0.15,N45))</f>
        <v>0</v>
      </c>
      <c r="BO45" s="38"/>
      <c r="BT45" s="41" t="s">
        <v>113</v>
      </c>
    </row>
    <row r="46" spans="1:72" ht="8.25" customHeight="1" x14ac:dyDescent="0.2">
      <c r="A46" s="27"/>
      <c r="B46" s="28"/>
      <c r="C46" s="28"/>
      <c r="D46" s="16"/>
      <c r="E46" s="20"/>
      <c r="F46" s="20"/>
      <c r="G46" s="24"/>
      <c r="H46" s="24"/>
      <c r="L46" t="s">
        <v>744</v>
      </c>
      <c r="M46" t="b">
        <f>+IF($C$12="Imported Beer",M38)</f>
        <v>0</v>
      </c>
      <c r="N46" t="b">
        <f>+IF($C$12="Imported Beer",N38)</f>
        <v>0</v>
      </c>
      <c r="Q46" t="b">
        <f>IF($C$12="Imported Beer",(C33/100))</f>
        <v>0</v>
      </c>
      <c r="R46" t="b">
        <f>IF(Q46&lt;0.15,M46,IF(Q46&gt;=0.15,N46))</f>
        <v>0</v>
      </c>
      <c r="BO46" s="38"/>
      <c r="BT46" s="41" t="s">
        <v>114</v>
      </c>
    </row>
    <row r="47" spans="1:72" ht="18" customHeight="1" x14ac:dyDescent="0.2">
      <c r="A47" s="173" t="s">
        <v>38</v>
      </c>
      <c r="B47" s="173"/>
      <c r="C47" s="174"/>
      <c r="D47" s="175"/>
      <c r="E47" s="173" t="s">
        <v>40</v>
      </c>
      <c r="F47" s="200"/>
      <c r="G47" s="174"/>
      <c r="H47" s="175"/>
      <c r="R47">
        <f>SUM(R39:R46)</f>
        <v>0</v>
      </c>
      <c r="S47">
        <f>SUM(S39:S46)</f>
        <v>0</v>
      </c>
      <c r="BO47" s="38"/>
      <c r="BT47" s="41" t="s">
        <v>115</v>
      </c>
    </row>
    <row r="48" spans="1:72" ht="18" customHeight="1" x14ac:dyDescent="0.2">
      <c r="A48" s="173" t="s">
        <v>39</v>
      </c>
      <c r="B48" s="173"/>
      <c r="C48" s="176"/>
      <c r="D48" s="177"/>
      <c r="E48" s="173" t="s">
        <v>947</v>
      </c>
      <c r="F48" s="173"/>
      <c r="G48" s="178"/>
      <c r="H48" s="179"/>
      <c r="R48">
        <f>IF(S47&gt;R47,S47,R47)</f>
        <v>0</v>
      </c>
      <c r="BO48" s="38"/>
      <c r="BT48" s="41" t="s">
        <v>116</v>
      </c>
    </row>
    <row r="49" spans="1:72" ht="18" customHeight="1" x14ac:dyDescent="0.2">
      <c r="A49" s="182" t="s">
        <v>163</v>
      </c>
      <c r="B49" s="182"/>
      <c r="C49" s="182"/>
      <c r="D49" s="182"/>
      <c r="E49" s="259"/>
      <c r="F49" s="259"/>
      <c r="G49" s="259"/>
      <c r="H49" s="259"/>
      <c r="BO49" s="38"/>
      <c r="BT49" s="41" t="s">
        <v>118</v>
      </c>
    </row>
    <row r="50" spans="1:72" ht="23.25" customHeight="1" thickBot="1" x14ac:dyDescent="0.25">
      <c r="A50" s="29"/>
      <c r="B50" s="29"/>
      <c r="C50" s="30"/>
      <c r="D50" s="31"/>
      <c r="E50" s="29"/>
      <c r="F50" s="29"/>
      <c r="G50" s="32"/>
      <c r="H50" s="32"/>
      <c r="BO50" s="38"/>
      <c r="BT50" s="41" t="s">
        <v>119</v>
      </c>
    </row>
    <row r="51" spans="1:72" ht="14.25" customHeight="1" thickTop="1" x14ac:dyDescent="0.2">
      <c r="A51" s="154"/>
      <c r="B51" s="154"/>
      <c r="C51" s="23"/>
      <c r="D51" s="155"/>
      <c r="E51" s="154"/>
      <c r="F51" s="154"/>
      <c r="G51" s="24"/>
      <c r="H51" s="24"/>
      <c r="BO51" s="38"/>
      <c r="BT51" s="41"/>
    </row>
    <row r="52" spans="1:72" ht="14.25" customHeight="1" x14ac:dyDescent="0.2">
      <c r="A52" s="154"/>
      <c r="B52" s="154"/>
      <c r="C52" s="23"/>
      <c r="D52" s="155"/>
      <c r="E52" s="154"/>
      <c r="F52" s="154"/>
      <c r="G52" s="24"/>
      <c r="H52" s="24"/>
      <c r="BO52" s="38"/>
      <c r="BT52" s="41"/>
    </row>
    <row r="53" spans="1:72" ht="15.75" customHeight="1" x14ac:dyDescent="0.2">
      <c r="A53" s="154"/>
      <c r="B53" s="154"/>
      <c r="C53" s="23"/>
      <c r="D53" s="155"/>
      <c r="E53" s="154"/>
      <c r="F53" s="154"/>
      <c r="G53" s="24"/>
      <c r="H53" s="24"/>
      <c r="BO53" s="38"/>
      <c r="BT53" s="41"/>
    </row>
    <row r="54" spans="1:72" ht="17.25" customHeight="1" x14ac:dyDescent="0.25">
      <c r="A54" s="260" t="s">
        <v>41</v>
      </c>
      <c r="B54" s="260"/>
      <c r="C54" s="260"/>
      <c r="D54" s="260"/>
      <c r="E54" s="260"/>
      <c r="F54" s="260"/>
      <c r="G54" s="260"/>
      <c r="H54" s="260"/>
      <c r="BO54" s="38"/>
      <c r="BT54" s="41" t="s">
        <v>120</v>
      </c>
    </row>
    <row r="55" spans="1:72" ht="18" customHeight="1" x14ac:dyDescent="0.2">
      <c r="B55" s="256" t="s">
        <v>138</v>
      </c>
      <c r="C55" s="256"/>
      <c r="D55" s="256"/>
      <c r="F55" s="255" t="s">
        <v>43</v>
      </c>
      <c r="G55" s="255"/>
      <c r="H55" s="255"/>
      <c r="BO55" s="38"/>
      <c r="BT55" s="41" t="s">
        <v>121</v>
      </c>
    </row>
    <row r="56" spans="1:72" ht="18" customHeight="1" x14ac:dyDescent="0.2">
      <c r="A56" s="6" t="s">
        <v>14</v>
      </c>
      <c r="B56" s="258"/>
      <c r="C56" s="258"/>
      <c r="D56" s="258"/>
      <c r="E56" s="7" t="s">
        <v>14</v>
      </c>
      <c r="F56" s="258"/>
      <c r="G56" s="258"/>
      <c r="H56" s="258"/>
      <c r="BO56" s="38"/>
      <c r="BT56" s="41" t="s">
        <v>122</v>
      </c>
    </row>
    <row r="57" spans="1:72" ht="18" customHeight="1" x14ac:dyDescent="0.2">
      <c r="A57" s="252"/>
      <c r="B57" s="186"/>
      <c r="C57" s="186"/>
      <c r="D57" s="186"/>
      <c r="E57" s="4"/>
      <c r="F57" s="258"/>
      <c r="G57" s="258"/>
      <c r="H57" s="258"/>
      <c r="BO57" s="38"/>
      <c r="BT57" s="41" t="s">
        <v>123</v>
      </c>
    </row>
    <row r="58" spans="1:72" ht="18" customHeight="1" x14ac:dyDescent="0.2">
      <c r="A58" s="252"/>
      <c r="B58" s="186"/>
      <c r="C58" s="186"/>
      <c r="D58" s="186"/>
      <c r="E58" s="4"/>
      <c r="F58" s="258"/>
      <c r="G58" s="258"/>
      <c r="H58" s="258"/>
      <c r="BO58" s="38"/>
      <c r="BT58" s="41" t="s">
        <v>124</v>
      </c>
    </row>
    <row r="59" spans="1:72" ht="18" customHeight="1" x14ac:dyDescent="0.2">
      <c r="A59" s="252"/>
      <c r="B59" s="186"/>
      <c r="C59" s="186"/>
      <c r="D59" s="186"/>
      <c r="E59" s="4"/>
      <c r="F59" s="258"/>
      <c r="G59" s="258"/>
      <c r="H59" s="258"/>
      <c r="BO59" s="38"/>
      <c r="BT59" s="41" t="s">
        <v>125</v>
      </c>
    </row>
    <row r="60" spans="1:72" ht="18" customHeight="1" x14ac:dyDescent="0.2">
      <c r="A60" s="3" t="s">
        <v>10</v>
      </c>
      <c r="B60" s="257"/>
      <c r="C60" s="257"/>
      <c r="D60" s="257"/>
      <c r="E60" s="16" t="s">
        <v>10</v>
      </c>
      <c r="F60" s="190"/>
      <c r="G60" s="190"/>
      <c r="H60" s="190"/>
      <c r="BO60" s="38"/>
      <c r="BT60" s="41" t="s">
        <v>126</v>
      </c>
    </row>
    <row r="61" spans="1:72" ht="18" customHeight="1" x14ac:dyDescent="0.2">
      <c r="A61" s="3" t="s">
        <v>11</v>
      </c>
      <c r="B61" s="262"/>
      <c r="C61" s="262"/>
      <c r="D61" s="262"/>
      <c r="E61" s="16" t="s">
        <v>11</v>
      </c>
      <c r="F61" s="190"/>
      <c r="G61" s="190"/>
      <c r="H61" s="190"/>
      <c r="BO61" s="38"/>
      <c r="BT61" s="41" t="s">
        <v>127</v>
      </c>
    </row>
    <row r="62" spans="1:72" ht="18" customHeight="1" x14ac:dyDescent="0.2">
      <c r="A62" s="8" t="s">
        <v>12</v>
      </c>
      <c r="B62" s="262"/>
      <c r="C62" s="262"/>
      <c r="D62" s="262"/>
      <c r="E62" s="16" t="s">
        <v>12</v>
      </c>
      <c r="F62" s="190"/>
      <c r="G62" s="190"/>
      <c r="H62" s="190"/>
      <c r="BO62" s="38"/>
      <c r="BT62" s="41" t="s">
        <v>128</v>
      </c>
    </row>
    <row r="63" spans="1:72" ht="18" customHeight="1" x14ac:dyDescent="0.2">
      <c r="A63" s="8" t="s">
        <v>42</v>
      </c>
      <c r="B63" s="257"/>
      <c r="C63" s="257"/>
      <c r="D63" s="257"/>
      <c r="E63" s="4" t="s">
        <v>42</v>
      </c>
      <c r="F63" s="186"/>
      <c r="G63" s="186"/>
      <c r="H63" s="186"/>
      <c r="BO63" s="38"/>
      <c r="BT63" s="41" t="s">
        <v>129</v>
      </c>
    </row>
    <row r="64" spans="1:72" ht="5.25" customHeight="1" x14ac:dyDescent="0.2">
      <c r="A64" s="42"/>
      <c r="B64" s="12"/>
      <c r="C64" s="12"/>
      <c r="D64" s="12"/>
      <c r="E64" s="4"/>
      <c r="F64" s="11"/>
      <c r="G64" s="11"/>
      <c r="H64" s="11"/>
      <c r="BO64" s="38"/>
      <c r="BT64" s="41" t="s">
        <v>130</v>
      </c>
    </row>
    <row r="65" spans="1:72" ht="15" customHeight="1" x14ac:dyDescent="0.2">
      <c r="A65" s="8"/>
      <c r="B65" s="256" t="s">
        <v>172</v>
      </c>
      <c r="C65" s="256"/>
      <c r="D65" s="256"/>
      <c r="E65" s="4"/>
      <c r="F65" s="11"/>
      <c r="G65" s="11"/>
      <c r="H65" s="11"/>
      <c r="BO65" s="38"/>
      <c r="BT65" s="41" t="s">
        <v>131</v>
      </c>
    </row>
    <row r="66" spans="1:72" ht="18" customHeight="1" x14ac:dyDescent="0.2">
      <c r="A66" s="8" t="s">
        <v>14</v>
      </c>
      <c r="B66" s="262"/>
      <c r="C66" s="262"/>
      <c r="D66" s="262"/>
      <c r="E66" s="4"/>
      <c r="F66" s="11"/>
      <c r="G66" s="11"/>
      <c r="H66" s="11"/>
      <c r="BO66" s="38"/>
      <c r="BT66" s="41" t="s">
        <v>132</v>
      </c>
    </row>
    <row r="67" spans="1:72" ht="18" customHeight="1" x14ac:dyDescent="0.2">
      <c r="A67" s="8"/>
      <c r="B67" s="257"/>
      <c r="C67" s="257"/>
      <c r="D67" s="257"/>
      <c r="E67" s="4"/>
      <c r="F67" s="11"/>
      <c r="G67" s="11"/>
      <c r="H67" s="11"/>
      <c r="BO67" s="38"/>
      <c r="BT67" s="41" t="s">
        <v>133</v>
      </c>
    </row>
    <row r="68" spans="1:72" ht="18" customHeight="1" x14ac:dyDescent="0.2">
      <c r="A68" s="8"/>
      <c r="B68" s="257"/>
      <c r="C68" s="257"/>
      <c r="D68" s="257"/>
      <c r="E68" s="4"/>
      <c r="F68" s="11"/>
      <c r="G68" s="11"/>
      <c r="H68" s="11"/>
      <c r="BO68" s="38"/>
      <c r="BT68" s="41" t="s">
        <v>134</v>
      </c>
    </row>
    <row r="69" spans="1:72" ht="18" customHeight="1" x14ac:dyDescent="0.2">
      <c r="A69" s="8"/>
      <c r="B69" s="262"/>
      <c r="C69" s="262"/>
      <c r="D69" s="262"/>
      <c r="E69" s="4"/>
      <c r="F69" s="11"/>
      <c r="G69" s="11"/>
      <c r="H69" s="11"/>
      <c r="BO69" s="38"/>
      <c r="BT69" s="41" t="s">
        <v>135</v>
      </c>
    </row>
    <row r="70" spans="1:72" ht="18" customHeight="1" x14ac:dyDescent="0.2">
      <c r="A70" s="8" t="s">
        <v>10</v>
      </c>
      <c r="B70" s="257"/>
      <c r="C70" s="257"/>
      <c r="D70" s="257"/>
      <c r="E70" s="4"/>
      <c r="F70" s="11"/>
      <c r="G70" s="11"/>
      <c r="H70" s="11"/>
      <c r="BO70" s="38"/>
      <c r="BT70" s="41" t="s">
        <v>136</v>
      </c>
    </row>
    <row r="71" spans="1:72" ht="18" customHeight="1" x14ac:dyDescent="0.2">
      <c r="A71" s="8" t="s">
        <v>11</v>
      </c>
      <c r="B71" s="257"/>
      <c r="C71" s="257"/>
      <c r="D71" s="257"/>
      <c r="E71" s="4"/>
      <c r="F71" s="11"/>
      <c r="G71" s="11"/>
      <c r="H71" s="11"/>
      <c r="BO71" s="38"/>
      <c r="BT71" s="41"/>
    </row>
    <row r="72" spans="1:72" ht="18" customHeight="1" x14ac:dyDescent="0.2">
      <c r="A72" s="16" t="s">
        <v>12</v>
      </c>
      <c r="B72" s="190"/>
      <c r="C72" s="190"/>
      <c r="D72" s="190"/>
      <c r="E72"/>
      <c r="F72"/>
      <c r="G72"/>
      <c r="H72"/>
      <c r="BO72" s="38"/>
      <c r="BT72" s="41"/>
    </row>
    <row r="73" spans="1:72" ht="10.5" customHeight="1" thickBot="1" x14ac:dyDescent="0.25">
      <c r="A73" s="33"/>
      <c r="B73" s="34"/>
      <c r="C73" s="34"/>
      <c r="D73" s="34"/>
      <c r="E73" s="35"/>
      <c r="F73" s="35"/>
      <c r="G73" s="35"/>
      <c r="H73" s="35"/>
      <c r="BO73" s="38"/>
      <c r="BT73" s="41"/>
    </row>
    <row r="74" spans="1:72" ht="18" customHeight="1" thickTop="1" x14ac:dyDescent="0.25">
      <c r="A74" s="260" t="s">
        <v>0</v>
      </c>
      <c r="B74" s="260"/>
      <c r="C74" s="260"/>
      <c r="D74" s="260"/>
      <c r="E74" s="260"/>
      <c r="F74" s="260"/>
      <c r="G74" s="260"/>
      <c r="H74" s="260"/>
      <c r="BO74" s="38"/>
      <c r="BT74" s="41"/>
    </row>
    <row r="75" spans="1:72" ht="18" customHeight="1" x14ac:dyDescent="0.2">
      <c r="B75" s="261" t="s">
        <v>162</v>
      </c>
      <c r="C75" s="261"/>
      <c r="D75" s="261"/>
      <c r="E75" s="263" t="s">
        <v>44</v>
      </c>
      <c r="F75" s="263"/>
      <c r="G75" s="263"/>
      <c r="H75" s="263"/>
      <c r="BO75" s="38"/>
      <c r="BT75" s="41"/>
    </row>
    <row r="76" spans="1:72" ht="18" customHeight="1" x14ac:dyDescent="0.2">
      <c r="A76" s="8" t="s">
        <v>9</v>
      </c>
      <c r="B76" s="258"/>
      <c r="C76" s="258"/>
      <c r="D76" s="258"/>
      <c r="E76" s="8" t="s">
        <v>14</v>
      </c>
      <c r="F76" s="258"/>
      <c r="G76" s="258"/>
      <c r="H76" s="258"/>
      <c r="BO76" s="38"/>
      <c r="BT76" s="41"/>
    </row>
    <row r="77" spans="1:72" ht="18" customHeight="1" x14ac:dyDescent="0.2">
      <c r="A77" s="252"/>
      <c r="B77" s="186"/>
      <c r="C77" s="186"/>
      <c r="D77" s="186"/>
      <c r="E77" s="252"/>
      <c r="F77" s="186"/>
      <c r="G77" s="186"/>
      <c r="H77" s="186"/>
      <c r="BO77" s="38"/>
      <c r="BT77" s="41"/>
    </row>
    <row r="78" spans="1:72" ht="18" customHeight="1" x14ac:dyDescent="0.2">
      <c r="A78" s="252"/>
      <c r="B78" s="186"/>
      <c r="C78" s="186"/>
      <c r="D78" s="186"/>
      <c r="E78" s="252"/>
      <c r="F78" s="186"/>
      <c r="G78" s="186"/>
      <c r="H78" s="186"/>
      <c r="BO78" s="38"/>
    </row>
    <row r="79" spans="1:72" ht="18" customHeight="1" x14ac:dyDescent="0.2">
      <c r="A79" s="3" t="s">
        <v>10</v>
      </c>
      <c r="B79" s="258"/>
      <c r="C79" s="258"/>
      <c r="D79" s="258"/>
      <c r="E79" s="3" t="s">
        <v>10</v>
      </c>
      <c r="F79" s="257"/>
      <c r="G79" s="257"/>
      <c r="H79" s="257"/>
      <c r="BO79" s="38"/>
    </row>
    <row r="80" spans="1:72" ht="18" customHeight="1" x14ac:dyDescent="0.2">
      <c r="A80" s="3" t="s">
        <v>161</v>
      </c>
      <c r="B80" s="186"/>
      <c r="C80" s="186"/>
      <c r="D80" s="186"/>
      <c r="E80" s="3" t="s">
        <v>161</v>
      </c>
      <c r="F80" s="257"/>
      <c r="G80" s="257"/>
      <c r="H80" s="257"/>
      <c r="BO80" s="38"/>
    </row>
    <row r="81" spans="1:72" ht="18" customHeight="1" x14ac:dyDescent="0.2">
      <c r="A81" s="3" t="s">
        <v>11</v>
      </c>
      <c r="B81" s="258"/>
      <c r="C81" s="258"/>
      <c r="D81" s="258"/>
      <c r="E81" s="3" t="s">
        <v>11</v>
      </c>
      <c r="F81" s="257"/>
      <c r="G81" s="257"/>
      <c r="H81" s="257"/>
    </row>
    <row r="82" spans="1:72" ht="18" customHeight="1" x14ac:dyDescent="0.2">
      <c r="A82" s="8" t="s">
        <v>12</v>
      </c>
      <c r="B82" s="258"/>
      <c r="C82" s="258"/>
      <c r="D82" s="258"/>
      <c r="E82" s="8" t="s">
        <v>13</v>
      </c>
      <c r="F82" s="257"/>
      <c r="G82" s="257"/>
      <c r="H82" s="257"/>
    </row>
    <row r="83" spans="1:72" ht="12" customHeight="1" thickBot="1" x14ac:dyDescent="0.25">
      <c r="A83" s="17"/>
      <c r="B83" s="18"/>
      <c r="C83" s="18"/>
      <c r="D83" s="18"/>
      <c r="E83" s="17"/>
      <c r="F83" s="19"/>
      <c r="G83" s="19"/>
      <c r="H83" s="19"/>
    </row>
    <row r="84" spans="1:72" ht="17.25" customHeight="1" thickTop="1" x14ac:dyDescent="0.25">
      <c r="A84" s="260" t="s">
        <v>144</v>
      </c>
      <c r="B84" s="260"/>
      <c r="C84" s="260"/>
      <c r="D84" s="260"/>
      <c r="E84" s="260"/>
      <c r="F84" s="260"/>
      <c r="G84"/>
      <c r="H84"/>
      <c r="I84"/>
      <c r="J84"/>
    </row>
    <row r="85" spans="1:72" ht="21" customHeight="1" thickBot="1" x14ac:dyDescent="0.25">
      <c r="A85" s="173" t="s">
        <v>145</v>
      </c>
      <c r="B85" s="173"/>
      <c r="C85" s="265"/>
      <c r="D85" s="265"/>
      <c r="E85" s="173" t="s">
        <v>146</v>
      </c>
      <c r="F85" s="173"/>
      <c r="G85" s="162"/>
      <c r="H85" s="163"/>
      <c r="I85"/>
      <c r="J85"/>
      <c r="BM85" s="35"/>
      <c r="BR85" s="35"/>
    </row>
    <row r="86" spans="1:72" ht="15" customHeight="1" thickTop="1" x14ac:dyDescent="0.25">
      <c r="A86" s="269" t="s">
        <v>156</v>
      </c>
      <c r="B86" s="269"/>
      <c r="C86" s="269"/>
      <c r="D86"/>
      <c r="E86"/>
      <c r="F86"/>
      <c r="G86"/>
      <c r="H86"/>
      <c r="I86"/>
      <c r="J86"/>
    </row>
    <row r="87" spans="1:72" ht="8.25" customHeight="1" x14ac:dyDescent="0.2">
      <c r="A87" s="36"/>
      <c r="B87" s="36"/>
      <c r="C87" s="36"/>
      <c r="D87" s="36"/>
      <c r="E87" s="36"/>
      <c r="F87" s="36"/>
      <c r="G87" s="36"/>
      <c r="H87" s="36"/>
      <c r="I87" s="36"/>
      <c r="J87" s="36"/>
    </row>
    <row r="88" spans="1:72" ht="33.75" customHeight="1" x14ac:dyDescent="0.25">
      <c r="A88" s="270" t="s">
        <v>151</v>
      </c>
      <c r="B88" s="270"/>
      <c r="C88" s="270"/>
      <c r="D88" s="270"/>
      <c r="E88" s="270"/>
      <c r="F88" s="270"/>
      <c r="G88" s="270"/>
      <c r="H88" s="270"/>
      <c r="I88"/>
      <c r="J88"/>
    </row>
    <row r="89" spans="1:72" ht="69" customHeight="1" x14ac:dyDescent="0.2">
      <c r="A89" s="266"/>
      <c r="B89" s="267"/>
      <c r="C89" s="267"/>
      <c r="D89" s="267"/>
      <c r="E89" s="267"/>
      <c r="F89" s="267"/>
      <c r="G89" s="267"/>
      <c r="H89" s="268"/>
      <c r="I89"/>
      <c r="J89"/>
    </row>
    <row r="90" spans="1:72" ht="20.25" customHeight="1" x14ac:dyDescent="0.2">
      <c r="A90" s="264" t="s">
        <v>157</v>
      </c>
      <c r="B90" s="264"/>
      <c r="C90" s="264"/>
      <c r="D90" s="264"/>
      <c r="E90" s="264"/>
      <c r="F90" s="264"/>
      <c r="G90" s="264"/>
      <c r="H90" s="264"/>
      <c r="I90"/>
      <c r="J90"/>
    </row>
    <row r="91" spans="1:72" ht="14.25" customHeight="1" x14ac:dyDescent="0.2">
      <c r="A91" s="152" t="s">
        <v>14</v>
      </c>
      <c r="B91" s="93" t="s">
        <v>954</v>
      </c>
      <c r="C91" s="153"/>
      <c r="D91"/>
      <c r="E91" s="152" t="s">
        <v>14</v>
      </c>
      <c r="F91" s="93" t="s">
        <v>1061</v>
      </c>
      <c r="G91"/>
      <c r="H91"/>
      <c r="I91"/>
      <c r="J91"/>
      <c r="BT91" s="2"/>
    </row>
    <row r="92" spans="1:72" x14ac:dyDescent="0.2">
      <c r="A92" s="152" t="s">
        <v>149</v>
      </c>
      <c r="B92" t="s">
        <v>154</v>
      </c>
      <c r="C92" s="43"/>
      <c r="D92"/>
      <c r="E92" s="152" t="s">
        <v>149</v>
      </c>
      <c r="F92" t="s">
        <v>154</v>
      </c>
      <c r="G92"/>
      <c r="H92"/>
      <c r="I92"/>
      <c r="J92"/>
      <c r="BO92" s="38"/>
      <c r="BP92" s="2"/>
      <c r="BT92" s="2"/>
    </row>
    <row r="93" spans="1:72" x14ac:dyDescent="0.2">
      <c r="A93" s="152"/>
      <c r="B93" s="93" t="s">
        <v>1037</v>
      </c>
      <c r="C93"/>
      <c r="D93"/>
      <c r="E93" s="152"/>
      <c r="F93" s="93" t="s">
        <v>1050</v>
      </c>
      <c r="G93"/>
      <c r="H93"/>
      <c r="I93"/>
      <c r="J93"/>
      <c r="BO93" s="38"/>
      <c r="BP93" s="2"/>
      <c r="BT93" s="2"/>
    </row>
    <row r="94" spans="1:72" x14ac:dyDescent="0.2">
      <c r="A94" s="152" t="s">
        <v>10</v>
      </c>
      <c r="B94" t="s">
        <v>955</v>
      </c>
      <c r="C94"/>
      <c r="D94"/>
      <c r="E94" s="152" t="s">
        <v>10</v>
      </c>
      <c r="F94" s="93" t="s">
        <v>1051</v>
      </c>
      <c r="G94"/>
      <c r="H94"/>
      <c r="I94"/>
      <c r="J94"/>
      <c r="BO94" s="38"/>
      <c r="BP94" s="2"/>
      <c r="BT94" s="2"/>
    </row>
    <row r="95" spans="1:72" x14ac:dyDescent="0.2">
      <c r="A95" s="152" t="s">
        <v>11</v>
      </c>
      <c r="B95" t="s">
        <v>150</v>
      </c>
      <c r="C95"/>
      <c r="D95"/>
      <c r="E95" s="152" t="s">
        <v>11</v>
      </c>
      <c r="F95" t="s">
        <v>150</v>
      </c>
      <c r="G95"/>
      <c r="H95"/>
      <c r="I95"/>
      <c r="J95"/>
      <c r="BM95" s="2"/>
      <c r="BO95" s="38"/>
      <c r="BP95" s="2"/>
      <c r="BR95" s="2"/>
      <c r="BT95" s="47"/>
    </row>
    <row r="96" spans="1:72" ht="18" customHeight="1" x14ac:dyDescent="0.2">
      <c r="A96" s="152" t="s">
        <v>12</v>
      </c>
      <c r="B96" s="44" t="s">
        <v>956</v>
      </c>
      <c r="C96"/>
      <c r="D96"/>
      <c r="E96" s="152" t="s">
        <v>12</v>
      </c>
      <c r="F96" s="44" t="s">
        <v>1062</v>
      </c>
      <c r="G96"/>
      <c r="H96"/>
      <c r="I96"/>
      <c r="J96"/>
      <c r="BM96" s="2"/>
      <c r="BO96" s="48"/>
      <c r="BP96" s="47"/>
      <c r="BR96" s="2"/>
      <c r="BT96" s="2"/>
    </row>
    <row r="97" spans="9:67" s="2" customFormat="1" x14ac:dyDescent="0.2">
      <c r="I97" s="5"/>
      <c r="J97" s="5"/>
      <c r="BO97" s="38" t="s">
        <v>175</v>
      </c>
    </row>
    <row r="98" spans="9:67" s="2" customFormat="1" x14ac:dyDescent="0.2">
      <c r="I98" s="5"/>
      <c r="J98" s="5"/>
      <c r="BO98" s="38" t="s">
        <v>176</v>
      </c>
    </row>
    <row r="99" spans="9:67" s="2" customFormat="1" x14ac:dyDescent="0.2">
      <c r="I99" s="5"/>
      <c r="J99" s="5"/>
      <c r="BO99" s="38" t="s">
        <v>177</v>
      </c>
    </row>
    <row r="100" spans="9:67" s="2" customFormat="1" x14ac:dyDescent="0.2">
      <c r="I100" s="5"/>
      <c r="J100" s="5"/>
      <c r="BO100" s="38" t="s">
        <v>178</v>
      </c>
    </row>
    <row r="101" spans="9:67" s="2" customFormat="1" x14ac:dyDescent="0.2">
      <c r="I101" s="5"/>
      <c r="J101" s="5"/>
      <c r="BO101" s="38" t="s">
        <v>179</v>
      </c>
    </row>
    <row r="102" spans="9:67" s="2" customFormat="1" x14ac:dyDescent="0.2">
      <c r="I102" s="5"/>
      <c r="J102" s="5"/>
      <c r="BO102" s="38" t="s">
        <v>180</v>
      </c>
    </row>
    <row r="103" spans="9:67" s="2" customFormat="1" x14ac:dyDescent="0.2">
      <c r="I103" s="5"/>
      <c r="J103" s="5"/>
      <c r="BO103" s="38" t="s">
        <v>181</v>
      </c>
    </row>
    <row r="104" spans="9:67" s="2" customFormat="1" x14ac:dyDescent="0.2">
      <c r="I104" s="5"/>
      <c r="J104" s="5"/>
      <c r="BO104" s="38" t="s">
        <v>182</v>
      </c>
    </row>
    <row r="105" spans="9:67" s="2" customFormat="1" x14ac:dyDescent="0.2">
      <c r="I105" s="5"/>
      <c r="J105" s="5"/>
      <c r="BO105" s="38" t="s">
        <v>183</v>
      </c>
    </row>
    <row r="106" spans="9:67" s="2" customFormat="1" x14ac:dyDescent="0.2">
      <c r="I106" s="5"/>
      <c r="J106" s="5"/>
      <c r="BO106" s="38" t="s">
        <v>184</v>
      </c>
    </row>
    <row r="107" spans="9:67" s="2" customFormat="1" x14ac:dyDescent="0.2">
      <c r="I107" s="5"/>
      <c r="J107" s="5"/>
      <c r="BO107" s="38" t="s">
        <v>185</v>
      </c>
    </row>
    <row r="108" spans="9:67" s="2" customFormat="1" x14ac:dyDescent="0.2">
      <c r="I108" s="5"/>
      <c r="J108" s="5"/>
      <c r="BO108" s="38" t="s">
        <v>186</v>
      </c>
    </row>
    <row r="109" spans="9:67" s="2" customFormat="1" x14ac:dyDescent="0.2">
      <c r="I109" s="5"/>
      <c r="J109" s="5"/>
      <c r="BO109" s="38" t="s">
        <v>187</v>
      </c>
    </row>
    <row r="110" spans="9:67" s="2" customFormat="1" x14ac:dyDescent="0.2">
      <c r="I110" s="5"/>
      <c r="J110" s="5"/>
      <c r="BO110" s="38" t="s">
        <v>188</v>
      </c>
    </row>
    <row r="111" spans="9:67" s="2" customFormat="1" x14ac:dyDescent="0.2">
      <c r="I111" s="5"/>
      <c r="J111" s="5"/>
      <c r="BO111" s="38" t="s">
        <v>189</v>
      </c>
    </row>
    <row r="112" spans="9:67" s="2" customFormat="1" x14ac:dyDescent="0.2">
      <c r="I112" s="5"/>
      <c r="J112" s="5"/>
      <c r="BO112" s="38" t="s">
        <v>66</v>
      </c>
    </row>
    <row r="113" spans="9:67" s="2" customFormat="1" x14ac:dyDescent="0.2">
      <c r="I113" s="5"/>
      <c r="J113" s="5"/>
      <c r="BO113" s="38" t="s">
        <v>190</v>
      </c>
    </row>
    <row r="114" spans="9:67" s="2" customFormat="1" x14ac:dyDescent="0.2">
      <c r="I114" s="5"/>
      <c r="J114" s="5"/>
      <c r="BO114" s="38" t="s">
        <v>191</v>
      </c>
    </row>
    <row r="115" spans="9:67" s="2" customFormat="1" x14ac:dyDescent="0.2">
      <c r="I115" s="5"/>
      <c r="J115" s="5"/>
      <c r="BO115" s="38" t="s">
        <v>192</v>
      </c>
    </row>
    <row r="116" spans="9:67" s="2" customFormat="1" x14ac:dyDescent="0.2">
      <c r="I116" s="5"/>
      <c r="J116" s="5"/>
      <c r="BO116" s="38" t="s">
        <v>193</v>
      </c>
    </row>
    <row r="117" spans="9:67" s="2" customFormat="1" x14ac:dyDescent="0.2">
      <c r="I117" s="5"/>
      <c r="J117" s="5"/>
      <c r="BO117" s="38" t="s">
        <v>67</v>
      </c>
    </row>
    <row r="118" spans="9:67" s="2" customFormat="1" x14ac:dyDescent="0.2">
      <c r="I118" s="5"/>
      <c r="J118" s="5"/>
      <c r="BO118" s="38" t="s">
        <v>194</v>
      </c>
    </row>
    <row r="119" spans="9:67" s="2" customFormat="1" x14ac:dyDescent="0.2">
      <c r="I119" s="5"/>
      <c r="J119" s="5"/>
      <c r="BO119" s="38" t="s">
        <v>68</v>
      </c>
    </row>
    <row r="120" spans="9:67" s="2" customFormat="1" x14ac:dyDescent="0.2">
      <c r="I120" s="5"/>
      <c r="J120" s="5"/>
      <c r="BO120" s="38" t="s">
        <v>69</v>
      </c>
    </row>
    <row r="121" spans="9:67" s="2" customFormat="1" x14ac:dyDescent="0.2">
      <c r="I121" s="5"/>
      <c r="J121" s="5"/>
      <c r="BO121" s="38" t="s">
        <v>70</v>
      </c>
    </row>
    <row r="122" spans="9:67" s="2" customFormat="1" x14ac:dyDescent="0.2">
      <c r="I122" s="5"/>
      <c r="J122" s="5"/>
      <c r="BO122" s="38" t="s">
        <v>71</v>
      </c>
    </row>
    <row r="123" spans="9:67" s="2" customFormat="1" x14ac:dyDescent="0.2">
      <c r="I123" s="5"/>
      <c r="J123" s="5"/>
      <c r="BO123" s="38" t="s">
        <v>72</v>
      </c>
    </row>
    <row r="124" spans="9:67" s="2" customFormat="1" x14ac:dyDescent="0.2">
      <c r="I124" s="5"/>
      <c r="J124" s="5"/>
      <c r="BO124" s="38" t="s">
        <v>73</v>
      </c>
    </row>
    <row r="125" spans="9:67" s="2" customFormat="1" x14ac:dyDescent="0.2">
      <c r="I125" s="5"/>
      <c r="J125" s="5"/>
      <c r="BO125" s="38" t="s">
        <v>74</v>
      </c>
    </row>
    <row r="126" spans="9:67" s="2" customFormat="1" x14ac:dyDescent="0.2">
      <c r="I126" s="5"/>
      <c r="J126" s="5"/>
      <c r="BO126" s="38" t="s">
        <v>75</v>
      </c>
    </row>
    <row r="127" spans="9:67" s="2" customFormat="1" x14ac:dyDescent="0.2">
      <c r="I127" s="5"/>
      <c r="J127" s="5"/>
      <c r="BO127" s="38" t="s">
        <v>195</v>
      </c>
    </row>
    <row r="128" spans="9:67" s="2" customFormat="1" x14ac:dyDescent="0.2">
      <c r="I128" s="5"/>
      <c r="J128" s="5"/>
      <c r="BO128" s="38" t="s">
        <v>196</v>
      </c>
    </row>
    <row r="129" spans="9:67" s="2" customFormat="1" x14ac:dyDescent="0.2">
      <c r="I129" s="5"/>
      <c r="J129" s="5"/>
      <c r="BO129" s="38" t="s">
        <v>197</v>
      </c>
    </row>
    <row r="130" spans="9:67" s="2" customFormat="1" x14ac:dyDescent="0.2">
      <c r="I130" s="5"/>
      <c r="J130" s="5"/>
      <c r="BO130" s="38" t="s">
        <v>76</v>
      </c>
    </row>
    <row r="131" spans="9:67" s="2" customFormat="1" x14ac:dyDescent="0.2">
      <c r="I131" s="5"/>
      <c r="J131" s="5"/>
      <c r="BO131" s="38" t="s">
        <v>77</v>
      </c>
    </row>
    <row r="132" spans="9:67" s="2" customFormat="1" x14ac:dyDescent="0.2">
      <c r="I132" s="5"/>
      <c r="J132" s="5"/>
      <c r="BO132" s="38" t="s">
        <v>198</v>
      </c>
    </row>
    <row r="133" spans="9:67" s="2" customFormat="1" x14ac:dyDescent="0.2">
      <c r="I133" s="5"/>
      <c r="J133" s="5"/>
      <c r="BO133" s="38" t="s">
        <v>199</v>
      </c>
    </row>
    <row r="134" spans="9:67" s="2" customFormat="1" x14ac:dyDescent="0.2">
      <c r="I134" s="5"/>
      <c r="J134" s="5"/>
      <c r="BO134" s="38" t="s">
        <v>200</v>
      </c>
    </row>
    <row r="135" spans="9:67" s="2" customFormat="1" x14ac:dyDescent="0.2">
      <c r="I135" s="5"/>
      <c r="J135" s="5"/>
      <c r="BO135" s="38" t="s">
        <v>201</v>
      </c>
    </row>
    <row r="136" spans="9:67" s="2" customFormat="1" x14ac:dyDescent="0.2">
      <c r="I136" s="5"/>
      <c r="J136" s="5"/>
      <c r="BO136" s="38" t="s">
        <v>202</v>
      </c>
    </row>
    <row r="137" spans="9:67" s="2" customFormat="1" x14ac:dyDescent="0.2">
      <c r="I137" s="5"/>
      <c r="J137" s="5"/>
      <c r="BO137" s="38" t="s">
        <v>203</v>
      </c>
    </row>
    <row r="138" spans="9:67" s="2" customFormat="1" x14ac:dyDescent="0.2">
      <c r="I138" s="5"/>
      <c r="J138" s="5"/>
      <c r="BO138" s="38" t="s">
        <v>204</v>
      </c>
    </row>
    <row r="139" spans="9:67" s="2" customFormat="1" x14ac:dyDescent="0.2">
      <c r="I139" s="5"/>
      <c r="J139" s="5"/>
      <c r="BO139" s="38" t="s">
        <v>205</v>
      </c>
    </row>
    <row r="140" spans="9:67" s="2" customFormat="1" x14ac:dyDescent="0.2">
      <c r="I140" s="5"/>
      <c r="J140" s="5"/>
      <c r="BO140" s="38" t="s">
        <v>206</v>
      </c>
    </row>
    <row r="141" spans="9:67" s="2" customFormat="1" x14ac:dyDescent="0.2">
      <c r="I141" s="5"/>
      <c r="J141" s="5"/>
      <c r="BO141" s="38" t="s">
        <v>207</v>
      </c>
    </row>
    <row r="142" spans="9:67" s="2" customFormat="1" x14ac:dyDescent="0.2">
      <c r="I142" s="5"/>
      <c r="J142" s="5"/>
      <c r="BO142" s="38" t="s">
        <v>208</v>
      </c>
    </row>
    <row r="143" spans="9:67" s="2" customFormat="1" x14ac:dyDescent="0.2">
      <c r="I143" s="5"/>
      <c r="J143" s="5"/>
      <c r="BO143" s="38" t="s">
        <v>209</v>
      </c>
    </row>
    <row r="144" spans="9:67" s="2" customFormat="1" x14ac:dyDescent="0.2">
      <c r="I144" s="5"/>
      <c r="J144" s="5"/>
      <c r="BO144" s="38" t="s">
        <v>210</v>
      </c>
    </row>
    <row r="145" spans="9:72" s="2" customFormat="1" x14ac:dyDescent="0.2">
      <c r="I145" s="5"/>
      <c r="J145" s="5"/>
      <c r="BO145" s="38" t="s">
        <v>211</v>
      </c>
      <c r="BT145"/>
    </row>
    <row r="146" spans="9:72" s="2" customFormat="1" x14ac:dyDescent="0.2">
      <c r="I146" s="5"/>
      <c r="J146" s="5"/>
      <c r="BO146" s="38" t="s">
        <v>212</v>
      </c>
      <c r="BT146"/>
    </row>
    <row r="147" spans="9:72" s="2" customFormat="1" x14ac:dyDescent="0.2">
      <c r="I147" s="5"/>
      <c r="J147" s="5"/>
      <c r="BO147" s="38" t="s">
        <v>213</v>
      </c>
      <c r="BT147"/>
    </row>
    <row r="148" spans="9:72" s="2" customFormat="1" x14ac:dyDescent="0.2">
      <c r="I148" s="5"/>
      <c r="J148" s="5"/>
      <c r="BO148" s="38" t="s">
        <v>214</v>
      </c>
      <c r="BT148"/>
    </row>
    <row r="149" spans="9:72" s="2" customFormat="1" x14ac:dyDescent="0.2">
      <c r="I149" s="5"/>
      <c r="J149" s="5"/>
      <c r="BO149" s="38" t="s">
        <v>215</v>
      </c>
      <c r="BT149"/>
    </row>
    <row r="150" spans="9:72" s="2" customFormat="1" x14ac:dyDescent="0.2">
      <c r="I150" s="5"/>
      <c r="J150" s="5"/>
      <c r="BO150" s="38" t="s">
        <v>216</v>
      </c>
      <c r="BT150"/>
    </row>
    <row r="151" spans="9:72" s="2" customFormat="1" x14ac:dyDescent="0.2">
      <c r="I151" s="5"/>
      <c r="J151" s="5"/>
      <c r="BO151" s="38" t="s">
        <v>217</v>
      </c>
      <c r="BT151"/>
    </row>
    <row r="152" spans="9:72" s="2" customFormat="1" x14ac:dyDescent="0.2">
      <c r="I152" s="5"/>
      <c r="J152" s="5"/>
      <c r="BO152" s="38" t="s">
        <v>218</v>
      </c>
      <c r="BT152"/>
    </row>
    <row r="153" spans="9:72" s="2" customFormat="1" x14ac:dyDescent="0.2">
      <c r="I153" s="5"/>
      <c r="J153" s="5"/>
      <c r="BO153" s="38" t="s">
        <v>219</v>
      </c>
      <c r="BT153"/>
    </row>
    <row r="154" spans="9:72" s="2" customFormat="1" x14ac:dyDescent="0.2">
      <c r="I154" s="5"/>
      <c r="J154" s="5"/>
      <c r="BO154" s="38" t="s">
        <v>220</v>
      </c>
      <c r="BT154"/>
    </row>
    <row r="155" spans="9:72" s="2" customFormat="1" x14ac:dyDescent="0.2">
      <c r="I155" s="5"/>
      <c r="J155" s="5"/>
      <c r="BO155" s="38" t="s">
        <v>221</v>
      </c>
      <c r="BT155"/>
    </row>
    <row r="156" spans="9:72" s="2" customFormat="1" x14ac:dyDescent="0.2">
      <c r="I156" s="5"/>
      <c r="J156" s="5"/>
      <c r="BO156" s="38" t="s">
        <v>222</v>
      </c>
      <c r="BT156"/>
    </row>
    <row r="157" spans="9:72" s="2" customFormat="1" x14ac:dyDescent="0.2">
      <c r="I157" s="5"/>
      <c r="J157" s="5"/>
      <c r="BO157" s="38" t="s">
        <v>223</v>
      </c>
      <c r="BT157"/>
    </row>
    <row r="158" spans="9:72" s="2" customFormat="1" x14ac:dyDescent="0.2">
      <c r="I158" s="5"/>
      <c r="J158" s="5"/>
      <c r="BO158" s="38" t="s">
        <v>224</v>
      </c>
      <c r="BT158"/>
    </row>
    <row r="159" spans="9:72" s="2" customFormat="1" x14ac:dyDescent="0.2">
      <c r="I159" s="5"/>
      <c r="J159" s="5"/>
      <c r="BO159" s="38" t="s">
        <v>54</v>
      </c>
      <c r="BT159"/>
    </row>
    <row r="160" spans="9:72" s="2" customFormat="1" x14ac:dyDescent="0.2">
      <c r="I160" s="5"/>
      <c r="J160" s="5"/>
      <c r="BO160" s="38" t="s">
        <v>225</v>
      </c>
      <c r="BT160"/>
    </row>
    <row r="161" spans="9:72" s="2" customFormat="1" x14ac:dyDescent="0.2">
      <c r="I161" s="5"/>
      <c r="J161" s="5"/>
      <c r="BO161" s="38" t="s">
        <v>55</v>
      </c>
      <c r="BT161"/>
    </row>
    <row r="162" spans="9:72" s="2" customFormat="1" x14ac:dyDescent="0.2">
      <c r="I162" s="5"/>
      <c r="J162" s="5"/>
      <c r="BO162" s="38" t="s">
        <v>226</v>
      </c>
      <c r="BT162"/>
    </row>
    <row r="163" spans="9:72" s="2" customFormat="1" x14ac:dyDescent="0.2">
      <c r="I163" s="5"/>
      <c r="J163" s="5"/>
      <c r="BO163" s="38" t="s">
        <v>227</v>
      </c>
      <c r="BT163"/>
    </row>
    <row r="164" spans="9:72" s="2" customFormat="1" x14ac:dyDescent="0.2">
      <c r="I164" s="5"/>
      <c r="J164" s="5"/>
      <c r="BO164" s="38" t="s">
        <v>228</v>
      </c>
      <c r="BT164"/>
    </row>
    <row r="165" spans="9:72" s="2" customFormat="1" x14ac:dyDescent="0.2">
      <c r="I165" s="5"/>
      <c r="J165" s="5"/>
      <c r="BO165" s="38" t="s">
        <v>229</v>
      </c>
      <c r="BT165"/>
    </row>
    <row r="166" spans="9:72" s="2" customFormat="1" x14ac:dyDescent="0.2">
      <c r="I166" s="5"/>
      <c r="J166" s="5"/>
      <c r="BO166" s="38" t="s">
        <v>230</v>
      </c>
      <c r="BT166"/>
    </row>
    <row r="167" spans="9:72" s="2" customFormat="1" x14ac:dyDescent="0.2">
      <c r="I167" s="5"/>
      <c r="J167" s="5"/>
      <c r="BO167" s="38" t="s">
        <v>231</v>
      </c>
      <c r="BT167"/>
    </row>
    <row r="168" spans="9:72" s="2" customFormat="1" x14ac:dyDescent="0.2">
      <c r="I168" s="5"/>
      <c r="J168" s="5"/>
      <c r="BO168" s="38" t="s">
        <v>232</v>
      </c>
      <c r="BT168"/>
    </row>
    <row r="169" spans="9:72" s="2" customFormat="1" x14ac:dyDescent="0.2">
      <c r="I169" s="5"/>
      <c r="J169" s="5"/>
      <c r="BO169" s="38" t="s">
        <v>233</v>
      </c>
      <c r="BT169"/>
    </row>
    <row r="170" spans="9:72" s="2" customFormat="1" x14ac:dyDescent="0.2">
      <c r="I170" s="5"/>
      <c r="J170" s="5"/>
      <c r="BO170" s="38" t="s">
        <v>234</v>
      </c>
      <c r="BT170"/>
    </row>
    <row r="171" spans="9:72" s="2" customFormat="1" x14ac:dyDescent="0.2">
      <c r="I171" s="5"/>
      <c r="J171" s="5"/>
      <c r="BO171" s="38" t="s">
        <v>235</v>
      </c>
      <c r="BT171"/>
    </row>
    <row r="172" spans="9:72" s="2" customFormat="1" x14ac:dyDescent="0.2">
      <c r="I172" s="5"/>
      <c r="J172" s="5"/>
      <c r="BO172" s="38" t="s">
        <v>236</v>
      </c>
      <c r="BT172"/>
    </row>
    <row r="173" spans="9:72" s="2" customFormat="1" x14ac:dyDescent="0.2">
      <c r="I173" s="5"/>
      <c r="J173" s="5"/>
      <c r="BO173" s="38" t="s">
        <v>237</v>
      </c>
      <c r="BT173"/>
    </row>
    <row r="174" spans="9:72" s="2" customFormat="1" x14ac:dyDescent="0.2">
      <c r="I174" s="5"/>
      <c r="J174" s="5"/>
      <c r="BO174" s="38" t="s">
        <v>238</v>
      </c>
      <c r="BT174"/>
    </row>
    <row r="175" spans="9:72" s="2" customFormat="1" x14ac:dyDescent="0.2">
      <c r="I175" s="5"/>
      <c r="J175" s="5"/>
      <c r="BO175" s="38" t="s">
        <v>239</v>
      </c>
      <c r="BT175"/>
    </row>
    <row r="176" spans="9:72" s="2" customFormat="1" x14ac:dyDescent="0.2">
      <c r="I176" s="5"/>
      <c r="J176" s="5"/>
      <c r="BO176" s="38" t="s">
        <v>240</v>
      </c>
      <c r="BT176"/>
    </row>
    <row r="177" spans="9:72" s="2" customFormat="1" x14ac:dyDescent="0.2">
      <c r="I177" s="5"/>
      <c r="J177" s="5"/>
      <c r="BO177" s="38" t="s">
        <v>241</v>
      </c>
      <c r="BT177"/>
    </row>
    <row r="178" spans="9:72" s="2" customFormat="1" x14ac:dyDescent="0.2">
      <c r="I178" s="5"/>
      <c r="J178" s="5"/>
      <c r="BO178" s="38" t="s">
        <v>242</v>
      </c>
      <c r="BT178"/>
    </row>
    <row r="179" spans="9:72" s="2" customFormat="1" x14ac:dyDescent="0.2">
      <c r="I179" s="5"/>
      <c r="J179" s="5"/>
      <c r="BO179" s="38" t="s">
        <v>243</v>
      </c>
      <c r="BT179"/>
    </row>
    <row r="180" spans="9:72" s="2" customFormat="1" x14ac:dyDescent="0.2">
      <c r="I180" s="5"/>
      <c r="J180" s="5"/>
      <c r="BO180" s="38" t="s">
        <v>244</v>
      </c>
      <c r="BT180"/>
    </row>
    <row r="181" spans="9:72" s="2" customFormat="1" x14ac:dyDescent="0.2">
      <c r="I181" s="5"/>
      <c r="J181" s="5"/>
      <c r="BO181" s="38" t="s">
        <v>245</v>
      </c>
      <c r="BT181"/>
    </row>
    <row r="182" spans="9:72" s="2" customFormat="1" x14ac:dyDescent="0.2">
      <c r="I182" s="5"/>
      <c r="J182" s="5"/>
      <c r="BO182" s="38" t="s">
        <v>246</v>
      </c>
      <c r="BT182"/>
    </row>
    <row r="183" spans="9:72" s="2" customFormat="1" x14ac:dyDescent="0.2">
      <c r="I183" s="5"/>
      <c r="J183" s="5"/>
      <c r="BO183" s="38" t="s">
        <v>247</v>
      </c>
      <c r="BT183"/>
    </row>
    <row r="184" spans="9:72" s="2" customFormat="1" x14ac:dyDescent="0.2">
      <c r="I184" s="5"/>
      <c r="J184" s="5"/>
      <c r="BO184" s="38" t="s">
        <v>248</v>
      </c>
      <c r="BT184"/>
    </row>
    <row r="185" spans="9:72" s="2" customFormat="1" x14ac:dyDescent="0.2">
      <c r="I185" s="5"/>
      <c r="J185" s="5"/>
      <c r="BO185" s="38" t="s">
        <v>56</v>
      </c>
      <c r="BT185"/>
    </row>
    <row r="186" spans="9:72" s="2" customFormat="1" x14ac:dyDescent="0.2">
      <c r="I186" s="5"/>
      <c r="J186" s="5"/>
      <c r="BO186" s="38" t="s">
        <v>57</v>
      </c>
      <c r="BT186"/>
    </row>
    <row r="187" spans="9:72" s="2" customFormat="1" x14ac:dyDescent="0.2">
      <c r="I187" s="5"/>
      <c r="J187" s="5"/>
      <c r="BO187" s="38" t="s">
        <v>249</v>
      </c>
      <c r="BT187"/>
    </row>
    <row r="188" spans="9:72" s="2" customFormat="1" x14ac:dyDescent="0.2">
      <c r="I188" s="5"/>
      <c r="J188" s="5"/>
      <c r="BO188" s="38" t="s">
        <v>58</v>
      </c>
      <c r="BT188"/>
    </row>
    <row r="189" spans="9:72" s="2" customFormat="1" x14ac:dyDescent="0.2">
      <c r="I189" s="5"/>
      <c r="J189" s="5"/>
      <c r="BO189" s="38" t="s">
        <v>250</v>
      </c>
      <c r="BT189"/>
    </row>
    <row r="190" spans="9:72" s="2" customFormat="1" x14ac:dyDescent="0.2">
      <c r="I190" s="5"/>
      <c r="J190" s="5"/>
      <c r="BO190" s="38" t="s">
        <v>59</v>
      </c>
      <c r="BT190"/>
    </row>
    <row r="191" spans="9:72" s="2" customFormat="1" x14ac:dyDescent="0.2">
      <c r="I191" s="5"/>
      <c r="J191" s="5"/>
      <c r="BO191" s="38" t="s">
        <v>60</v>
      </c>
      <c r="BT191"/>
    </row>
    <row r="192" spans="9:72" s="2" customFormat="1" x14ac:dyDescent="0.2">
      <c r="I192" s="5"/>
      <c r="J192" s="5"/>
      <c r="BO192" s="38" t="s">
        <v>251</v>
      </c>
      <c r="BT192"/>
    </row>
    <row r="193" spans="9:72" s="2" customFormat="1" x14ac:dyDescent="0.2">
      <c r="I193" s="5"/>
      <c r="J193" s="5"/>
      <c r="BO193" s="38" t="s">
        <v>61</v>
      </c>
      <c r="BT193"/>
    </row>
    <row r="194" spans="9:72" s="2" customFormat="1" x14ac:dyDescent="0.2">
      <c r="I194" s="5"/>
      <c r="J194" s="5"/>
      <c r="BO194" t="s">
        <v>62</v>
      </c>
      <c r="BT194"/>
    </row>
    <row r="195" spans="9:72" s="2" customFormat="1" x14ac:dyDescent="0.2">
      <c r="I195" s="5"/>
      <c r="J195" s="5"/>
      <c r="BO195" t="s">
        <v>252</v>
      </c>
      <c r="BT195"/>
    </row>
    <row r="196" spans="9:72" s="2" customFormat="1" x14ac:dyDescent="0.2">
      <c r="I196" s="5"/>
      <c r="J196" s="5"/>
      <c r="BO196" t="s">
        <v>63</v>
      </c>
      <c r="BT196"/>
    </row>
    <row r="197" spans="9:72" s="2" customFormat="1" x14ac:dyDescent="0.2">
      <c r="I197" s="5"/>
      <c r="J197" s="5"/>
      <c r="BO197" t="s">
        <v>78</v>
      </c>
      <c r="BT197"/>
    </row>
    <row r="198" spans="9:72" s="2" customFormat="1" x14ac:dyDescent="0.2">
      <c r="I198" s="5"/>
      <c r="J198" s="5"/>
      <c r="BO198" t="s">
        <v>79</v>
      </c>
      <c r="BT198"/>
    </row>
    <row r="199" spans="9:72" s="2" customFormat="1" x14ac:dyDescent="0.2">
      <c r="I199" s="5"/>
      <c r="J199" s="5"/>
      <c r="BO199" t="s">
        <v>253</v>
      </c>
      <c r="BT199"/>
    </row>
    <row r="200" spans="9:72" s="2" customFormat="1" x14ac:dyDescent="0.2">
      <c r="I200" s="5"/>
      <c r="J200" s="5"/>
      <c r="BO200" t="s">
        <v>80</v>
      </c>
      <c r="BT200"/>
    </row>
    <row r="201" spans="9:72" s="2" customFormat="1" x14ac:dyDescent="0.2">
      <c r="I201" s="5"/>
      <c r="J201" s="5"/>
      <c r="BO201" t="s">
        <v>81</v>
      </c>
      <c r="BT201"/>
    </row>
    <row r="202" spans="9:72" s="2" customFormat="1" x14ac:dyDescent="0.2">
      <c r="I202" s="5"/>
      <c r="J202" s="5"/>
      <c r="BO202" t="s">
        <v>82</v>
      </c>
      <c r="BT202"/>
    </row>
    <row r="203" spans="9:72" s="2" customFormat="1" x14ac:dyDescent="0.2">
      <c r="I203" s="5"/>
      <c r="J203" s="5"/>
      <c r="BO203" t="s">
        <v>83</v>
      </c>
      <c r="BT203"/>
    </row>
    <row r="204" spans="9:72" s="2" customFormat="1" x14ac:dyDescent="0.2">
      <c r="I204" s="5"/>
      <c r="J204" s="5"/>
      <c r="BO204" t="s">
        <v>84</v>
      </c>
      <c r="BT204"/>
    </row>
    <row r="205" spans="9:72" s="2" customFormat="1" x14ac:dyDescent="0.2">
      <c r="I205" s="5"/>
      <c r="J205" s="5"/>
      <c r="BO205" t="s">
        <v>254</v>
      </c>
      <c r="BT205"/>
    </row>
    <row r="206" spans="9:72" s="2" customFormat="1" x14ac:dyDescent="0.2">
      <c r="I206" s="5"/>
      <c r="J206" s="5"/>
      <c r="BO206" t="s">
        <v>255</v>
      </c>
      <c r="BT206"/>
    </row>
    <row r="207" spans="9:72" s="2" customFormat="1" x14ac:dyDescent="0.2">
      <c r="I207" s="5"/>
      <c r="J207" s="5"/>
      <c r="BO207" t="s">
        <v>256</v>
      </c>
      <c r="BT207"/>
    </row>
    <row r="208" spans="9:72" s="2" customFormat="1" x14ac:dyDescent="0.2">
      <c r="I208" s="5"/>
      <c r="J208" s="5"/>
      <c r="BO208" t="s">
        <v>257</v>
      </c>
      <c r="BT208"/>
    </row>
    <row r="209" spans="9:74" s="2" customFormat="1" x14ac:dyDescent="0.2">
      <c r="I209" s="5"/>
      <c r="J209" s="5"/>
      <c r="BO209" t="s">
        <v>258</v>
      </c>
      <c r="BT209"/>
    </row>
    <row r="210" spans="9:74" s="2" customFormat="1" x14ac:dyDescent="0.2">
      <c r="I210" s="5"/>
      <c r="J210" s="5"/>
      <c r="BO210" t="s">
        <v>259</v>
      </c>
      <c r="BT210"/>
    </row>
    <row r="211" spans="9:74" s="2" customFormat="1" x14ac:dyDescent="0.2">
      <c r="I211" s="5"/>
      <c r="J211" s="5"/>
      <c r="BO211" s="9" t="s">
        <v>260</v>
      </c>
      <c r="BT211"/>
    </row>
    <row r="212" spans="9:74" s="2" customFormat="1" x14ac:dyDescent="0.2">
      <c r="I212" s="5"/>
      <c r="J212" s="5"/>
      <c r="BO212" s="2" t="s">
        <v>261</v>
      </c>
      <c r="BT212"/>
    </row>
    <row r="213" spans="9:74" s="2" customFormat="1" x14ac:dyDescent="0.2">
      <c r="I213" s="5"/>
      <c r="J213" s="5"/>
      <c r="BO213" s="2" t="s">
        <v>262</v>
      </c>
      <c r="BT213"/>
    </row>
    <row r="214" spans="9:74" s="2" customFormat="1" x14ac:dyDescent="0.2">
      <c r="I214" s="5"/>
      <c r="J214" s="5"/>
      <c r="BO214" s="2" t="s">
        <v>263</v>
      </c>
      <c r="BT214"/>
    </row>
    <row r="215" spans="9:74" s="2" customFormat="1" x14ac:dyDescent="0.2">
      <c r="I215" s="5"/>
      <c r="J215" s="5"/>
      <c r="BO215" s="2" t="s">
        <v>264</v>
      </c>
      <c r="BT215"/>
    </row>
    <row r="216" spans="9:74" s="2" customFormat="1" x14ac:dyDescent="0.2">
      <c r="I216" s="5"/>
      <c r="J216" s="5"/>
      <c r="BO216" s="2" t="s">
        <v>64</v>
      </c>
      <c r="BT216"/>
    </row>
    <row r="217" spans="9:74" s="2" customFormat="1" x14ac:dyDescent="0.2">
      <c r="I217" s="5"/>
      <c r="J217" s="5"/>
      <c r="BO217" s="2" t="s">
        <v>265</v>
      </c>
      <c r="BP217"/>
      <c r="BT217"/>
      <c r="BU217"/>
      <c r="BV217"/>
    </row>
    <row r="218" spans="9:74" s="2" customFormat="1" x14ac:dyDescent="0.2">
      <c r="I218" s="5"/>
      <c r="J218" s="5"/>
      <c r="BO218" s="2" t="s">
        <v>266</v>
      </c>
      <c r="BP218"/>
      <c r="BT218"/>
      <c r="BU218"/>
      <c r="BV218"/>
    </row>
    <row r="219" spans="9:74" s="2" customFormat="1" x14ac:dyDescent="0.2">
      <c r="I219" s="5"/>
      <c r="J219" s="5"/>
      <c r="BO219" s="2" t="s">
        <v>267</v>
      </c>
      <c r="BP219"/>
      <c r="BT219"/>
      <c r="BU219"/>
      <c r="BV219"/>
    </row>
    <row r="220" spans="9:74" s="2" customFormat="1" x14ac:dyDescent="0.2">
      <c r="I220" s="5"/>
      <c r="J220" s="5"/>
      <c r="BM220"/>
      <c r="BO220" s="2" t="s">
        <v>268</v>
      </c>
      <c r="BP220"/>
      <c r="BR220"/>
      <c r="BT220"/>
      <c r="BU220"/>
      <c r="BV220"/>
    </row>
    <row r="221" spans="9:74" s="2" customFormat="1" x14ac:dyDescent="0.2">
      <c r="I221" s="5"/>
      <c r="J221" s="5"/>
      <c r="BM221"/>
      <c r="BO221" s="2" t="s">
        <v>269</v>
      </c>
      <c r="BP221"/>
      <c r="BR221"/>
      <c r="BT221"/>
      <c r="BU221"/>
      <c r="BV221"/>
    </row>
    <row r="222" spans="9:74" s="2" customFormat="1" x14ac:dyDescent="0.2">
      <c r="I222" s="5"/>
      <c r="J222" s="5"/>
      <c r="BM222"/>
      <c r="BO222" s="2" t="s">
        <v>270</v>
      </c>
      <c r="BP222"/>
      <c r="BR222"/>
      <c r="BT222"/>
      <c r="BU222"/>
      <c r="BV222"/>
    </row>
    <row r="223" spans="9:74" x14ac:dyDescent="0.2">
      <c r="BJ223" s="2"/>
      <c r="BO223" s="2" t="s">
        <v>271</v>
      </c>
    </row>
    <row r="224" spans="9:74" x14ac:dyDescent="0.2">
      <c r="BO224" s="2" t="s">
        <v>272</v>
      </c>
    </row>
    <row r="225" spans="67:67" x14ac:dyDescent="0.2">
      <c r="BO225" s="2" t="s">
        <v>273</v>
      </c>
    </row>
    <row r="226" spans="67:67" x14ac:dyDescent="0.2">
      <c r="BO226" s="2" t="s">
        <v>274</v>
      </c>
    </row>
    <row r="227" spans="67:67" x14ac:dyDescent="0.2">
      <c r="BO227" s="2" t="s">
        <v>275</v>
      </c>
    </row>
    <row r="228" spans="67:67" x14ac:dyDescent="0.2">
      <c r="BO228" s="2" t="s">
        <v>276</v>
      </c>
    </row>
    <row r="229" spans="67:67" x14ac:dyDescent="0.2">
      <c r="BO229" s="2" t="s">
        <v>65</v>
      </c>
    </row>
    <row r="230" spans="67:67" x14ac:dyDescent="0.2">
      <c r="BO230" s="2" t="s">
        <v>277</v>
      </c>
    </row>
    <row r="231" spans="67:67" x14ac:dyDescent="0.2">
      <c r="BO231" s="2" t="s">
        <v>278</v>
      </c>
    </row>
    <row r="232" spans="67:67" x14ac:dyDescent="0.2">
      <c r="BO232" s="2" t="s">
        <v>279</v>
      </c>
    </row>
    <row r="233" spans="67:67" x14ac:dyDescent="0.2">
      <c r="BO233" s="2" t="s">
        <v>280</v>
      </c>
    </row>
    <row r="234" spans="67:67" x14ac:dyDescent="0.2">
      <c r="BO234" s="2" t="s">
        <v>281</v>
      </c>
    </row>
    <row r="235" spans="67:67" x14ac:dyDescent="0.2">
      <c r="BO235" s="2" t="s">
        <v>282</v>
      </c>
    </row>
    <row r="236" spans="67:67" x14ac:dyDescent="0.2">
      <c r="BO236" s="2" t="s">
        <v>283</v>
      </c>
    </row>
    <row r="237" spans="67:67" x14ac:dyDescent="0.2">
      <c r="BO237" s="2" t="s">
        <v>284</v>
      </c>
    </row>
    <row r="238" spans="67:67" x14ac:dyDescent="0.2">
      <c r="BO238" s="2" t="s">
        <v>285</v>
      </c>
    </row>
    <row r="239" spans="67:67" x14ac:dyDescent="0.2">
      <c r="BO239" s="2" t="s">
        <v>286</v>
      </c>
    </row>
    <row r="240" spans="67:67" x14ac:dyDescent="0.2">
      <c r="BO240" s="2" t="s">
        <v>287</v>
      </c>
    </row>
    <row r="241" spans="67:67" x14ac:dyDescent="0.2">
      <c r="BO241" s="2" t="s">
        <v>288</v>
      </c>
    </row>
    <row r="242" spans="67:67" x14ac:dyDescent="0.2">
      <c r="BO242" s="2" t="s">
        <v>289</v>
      </c>
    </row>
    <row r="243" spans="67:67" x14ac:dyDescent="0.2">
      <c r="BO243" s="2" t="s">
        <v>290</v>
      </c>
    </row>
    <row r="244" spans="67:67" x14ac:dyDescent="0.2">
      <c r="BO244" s="2" t="s">
        <v>291</v>
      </c>
    </row>
    <row r="245" spans="67:67" x14ac:dyDescent="0.2">
      <c r="BO245" s="2" t="s">
        <v>292</v>
      </c>
    </row>
    <row r="246" spans="67:67" x14ac:dyDescent="0.2">
      <c r="BO246" s="2" t="s">
        <v>293</v>
      </c>
    </row>
    <row r="247" spans="67:67" x14ac:dyDescent="0.2">
      <c r="BO247" s="2" t="s">
        <v>294</v>
      </c>
    </row>
    <row r="248" spans="67:67" x14ac:dyDescent="0.2">
      <c r="BO248" s="2" t="s">
        <v>295</v>
      </c>
    </row>
    <row r="249" spans="67:67" x14ac:dyDescent="0.2">
      <c r="BO249" s="2" t="s">
        <v>296</v>
      </c>
    </row>
    <row r="250" spans="67:67" x14ac:dyDescent="0.2">
      <c r="BO250" s="2" t="s">
        <v>297</v>
      </c>
    </row>
    <row r="251" spans="67:67" x14ac:dyDescent="0.2">
      <c r="BO251" s="2" t="s">
        <v>298</v>
      </c>
    </row>
    <row r="252" spans="67:67" x14ac:dyDescent="0.2">
      <c r="BO252" s="2" t="s">
        <v>299</v>
      </c>
    </row>
    <row r="253" spans="67:67" x14ac:dyDescent="0.2">
      <c r="BO253" s="2" t="s">
        <v>300</v>
      </c>
    </row>
    <row r="254" spans="67:67" x14ac:dyDescent="0.2">
      <c r="BO254" s="2" t="s">
        <v>301</v>
      </c>
    </row>
    <row r="255" spans="67:67" x14ac:dyDescent="0.2">
      <c r="BO255" s="2" t="s">
        <v>302</v>
      </c>
    </row>
    <row r="256" spans="67:67" x14ac:dyDescent="0.2">
      <c r="BO256" s="2" t="s">
        <v>303</v>
      </c>
    </row>
    <row r="257" spans="67:67" x14ac:dyDescent="0.2">
      <c r="BO257" s="2" t="s">
        <v>304</v>
      </c>
    </row>
    <row r="258" spans="67:67" x14ac:dyDescent="0.2">
      <c r="BO258" s="2" t="s">
        <v>305</v>
      </c>
    </row>
    <row r="259" spans="67:67" x14ac:dyDescent="0.2">
      <c r="BO259" s="2" t="s">
        <v>306</v>
      </c>
    </row>
    <row r="260" spans="67:67" x14ac:dyDescent="0.2">
      <c r="BO260" s="2" t="s">
        <v>307</v>
      </c>
    </row>
    <row r="261" spans="67:67" x14ac:dyDescent="0.2">
      <c r="BO261" s="2" t="s">
        <v>308</v>
      </c>
    </row>
    <row r="262" spans="67:67" x14ac:dyDescent="0.2">
      <c r="BO262" s="2" t="s">
        <v>309</v>
      </c>
    </row>
    <row r="263" spans="67:67" x14ac:dyDescent="0.2">
      <c r="BO263" s="2" t="s">
        <v>310</v>
      </c>
    </row>
    <row r="264" spans="67:67" x14ac:dyDescent="0.2">
      <c r="BO264" s="2" t="s">
        <v>311</v>
      </c>
    </row>
    <row r="265" spans="67:67" x14ac:dyDescent="0.2">
      <c r="BO265" s="2" t="s">
        <v>312</v>
      </c>
    </row>
    <row r="266" spans="67:67" x14ac:dyDescent="0.2">
      <c r="BO266" s="2" t="s">
        <v>313</v>
      </c>
    </row>
    <row r="267" spans="67:67" x14ac:dyDescent="0.2">
      <c r="BO267" s="2" t="s">
        <v>314</v>
      </c>
    </row>
    <row r="268" spans="67:67" x14ac:dyDescent="0.2">
      <c r="BO268" s="2" t="s">
        <v>315</v>
      </c>
    </row>
    <row r="269" spans="67:67" x14ac:dyDescent="0.2">
      <c r="BO269" s="2" t="s">
        <v>316</v>
      </c>
    </row>
    <row r="270" spans="67:67" x14ac:dyDescent="0.2">
      <c r="BO270" s="2" t="s">
        <v>317</v>
      </c>
    </row>
    <row r="271" spans="67:67" x14ac:dyDescent="0.2">
      <c r="BO271" s="2" t="s">
        <v>318</v>
      </c>
    </row>
    <row r="272" spans="67:67" x14ac:dyDescent="0.2">
      <c r="BO272" s="2" t="s">
        <v>319</v>
      </c>
    </row>
    <row r="273" spans="67:67" x14ac:dyDescent="0.2">
      <c r="BO273" s="2" t="s">
        <v>320</v>
      </c>
    </row>
    <row r="274" spans="67:67" x14ac:dyDescent="0.2">
      <c r="BO274" s="2" t="s">
        <v>321</v>
      </c>
    </row>
    <row r="275" spans="67:67" x14ac:dyDescent="0.2">
      <c r="BO275" s="2" t="s">
        <v>322</v>
      </c>
    </row>
    <row r="276" spans="67:67" x14ac:dyDescent="0.2">
      <c r="BO276" s="2" t="s">
        <v>323</v>
      </c>
    </row>
    <row r="277" spans="67:67" x14ac:dyDescent="0.2">
      <c r="BO277" s="2" t="s">
        <v>324</v>
      </c>
    </row>
    <row r="278" spans="67:67" x14ac:dyDescent="0.2">
      <c r="BO278" s="2" t="s">
        <v>325</v>
      </c>
    </row>
    <row r="279" spans="67:67" x14ac:dyDescent="0.2">
      <c r="BO279" s="2" t="s">
        <v>326</v>
      </c>
    </row>
    <row r="280" spans="67:67" x14ac:dyDescent="0.2">
      <c r="BO280" s="2" t="s">
        <v>327</v>
      </c>
    </row>
    <row r="281" spans="67:67" x14ac:dyDescent="0.2">
      <c r="BO281" s="2" t="s">
        <v>328</v>
      </c>
    </row>
    <row r="282" spans="67:67" x14ac:dyDescent="0.2">
      <c r="BO282" s="2" t="s">
        <v>329</v>
      </c>
    </row>
    <row r="283" spans="67:67" x14ac:dyDescent="0.2">
      <c r="BO283" s="2" t="s">
        <v>330</v>
      </c>
    </row>
    <row r="284" spans="67:67" x14ac:dyDescent="0.2">
      <c r="BO284" s="2" t="s">
        <v>331</v>
      </c>
    </row>
    <row r="285" spans="67:67" x14ac:dyDescent="0.2">
      <c r="BO285" s="2" t="s">
        <v>332</v>
      </c>
    </row>
    <row r="286" spans="67:67" x14ac:dyDescent="0.2">
      <c r="BO286" s="2" t="s">
        <v>333</v>
      </c>
    </row>
    <row r="287" spans="67:67" x14ac:dyDescent="0.2">
      <c r="BO287" s="2" t="s">
        <v>334</v>
      </c>
    </row>
    <row r="288" spans="67:67" x14ac:dyDescent="0.2">
      <c r="BO288" s="2" t="s">
        <v>335</v>
      </c>
    </row>
    <row r="289" spans="67:67" x14ac:dyDescent="0.2">
      <c r="BO289" s="2" t="s">
        <v>336</v>
      </c>
    </row>
    <row r="290" spans="67:67" x14ac:dyDescent="0.2">
      <c r="BO290" s="2" t="s">
        <v>337</v>
      </c>
    </row>
    <row r="291" spans="67:67" x14ac:dyDescent="0.2">
      <c r="BO291" s="2" t="s">
        <v>338</v>
      </c>
    </row>
    <row r="292" spans="67:67" x14ac:dyDescent="0.2">
      <c r="BO292" s="2" t="s">
        <v>339</v>
      </c>
    </row>
    <row r="293" spans="67:67" x14ac:dyDescent="0.2">
      <c r="BO293" s="2" t="s">
        <v>340</v>
      </c>
    </row>
    <row r="294" spans="67:67" x14ac:dyDescent="0.2">
      <c r="BO294" s="2" t="s">
        <v>341</v>
      </c>
    </row>
    <row r="295" spans="67:67" x14ac:dyDescent="0.2">
      <c r="BO295" s="2" t="s">
        <v>342</v>
      </c>
    </row>
    <row r="296" spans="67:67" x14ac:dyDescent="0.2">
      <c r="BO296" s="2" t="s">
        <v>343</v>
      </c>
    </row>
    <row r="297" spans="67:67" x14ac:dyDescent="0.2">
      <c r="BO297" s="2" t="s">
        <v>344</v>
      </c>
    </row>
    <row r="298" spans="67:67" x14ac:dyDescent="0.2">
      <c r="BO298" s="2" t="s">
        <v>345</v>
      </c>
    </row>
    <row r="299" spans="67:67" x14ac:dyDescent="0.2">
      <c r="BO299" s="2" t="s">
        <v>346</v>
      </c>
    </row>
    <row r="300" spans="67:67" x14ac:dyDescent="0.2">
      <c r="BO300" s="2" t="s">
        <v>347</v>
      </c>
    </row>
    <row r="301" spans="67:67" x14ac:dyDescent="0.2">
      <c r="BO301" s="2" t="s">
        <v>348</v>
      </c>
    </row>
    <row r="302" spans="67:67" x14ac:dyDescent="0.2">
      <c r="BO302" s="2" t="s">
        <v>349</v>
      </c>
    </row>
    <row r="303" spans="67:67" x14ac:dyDescent="0.2">
      <c r="BO303" s="2" t="s">
        <v>350</v>
      </c>
    </row>
    <row r="304" spans="67:67" x14ac:dyDescent="0.2">
      <c r="BO304" s="2" t="s">
        <v>351</v>
      </c>
    </row>
    <row r="305" spans="67:67" x14ac:dyDescent="0.2">
      <c r="BO305" s="2" t="s">
        <v>352</v>
      </c>
    </row>
    <row r="306" spans="67:67" x14ac:dyDescent="0.2">
      <c r="BO306" s="2" t="s">
        <v>353</v>
      </c>
    </row>
    <row r="307" spans="67:67" x14ac:dyDescent="0.2">
      <c r="BO307" s="2" t="s">
        <v>354</v>
      </c>
    </row>
    <row r="308" spans="67:67" x14ac:dyDescent="0.2">
      <c r="BO308" s="2" t="s">
        <v>355</v>
      </c>
    </row>
    <row r="309" spans="67:67" x14ac:dyDescent="0.2">
      <c r="BO309" s="2" t="s">
        <v>356</v>
      </c>
    </row>
    <row r="310" spans="67:67" x14ac:dyDescent="0.2">
      <c r="BO310" s="2" t="s">
        <v>357</v>
      </c>
    </row>
    <row r="311" spans="67:67" x14ac:dyDescent="0.2">
      <c r="BO311" s="2" t="s">
        <v>358</v>
      </c>
    </row>
    <row r="312" spans="67:67" x14ac:dyDescent="0.2">
      <c r="BO312" s="2" t="s">
        <v>359</v>
      </c>
    </row>
    <row r="313" spans="67:67" x14ac:dyDescent="0.2">
      <c r="BO313" s="2" t="s">
        <v>360</v>
      </c>
    </row>
    <row r="314" spans="67:67" x14ac:dyDescent="0.2">
      <c r="BO314" s="2" t="s">
        <v>361</v>
      </c>
    </row>
    <row r="315" spans="67:67" x14ac:dyDescent="0.2">
      <c r="BO315" s="2" t="s">
        <v>362</v>
      </c>
    </row>
    <row r="316" spans="67:67" x14ac:dyDescent="0.2">
      <c r="BO316" s="2" t="s">
        <v>363</v>
      </c>
    </row>
    <row r="317" spans="67:67" x14ac:dyDescent="0.2">
      <c r="BO317" s="2" t="s">
        <v>364</v>
      </c>
    </row>
    <row r="318" spans="67:67" x14ac:dyDescent="0.2">
      <c r="BO318" s="2" t="s">
        <v>365</v>
      </c>
    </row>
    <row r="319" spans="67:67" x14ac:dyDescent="0.2">
      <c r="BO319" s="2" t="s">
        <v>366</v>
      </c>
    </row>
    <row r="320" spans="67:67" x14ac:dyDescent="0.2">
      <c r="BO320" s="2" t="s">
        <v>367</v>
      </c>
    </row>
    <row r="321" spans="67:67" x14ac:dyDescent="0.2">
      <c r="BO321" s="2" t="s">
        <v>368</v>
      </c>
    </row>
    <row r="322" spans="67:67" x14ac:dyDescent="0.2">
      <c r="BO322" s="2" t="s">
        <v>369</v>
      </c>
    </row>
    <row r="323" spans="67:67" x14ac:dyDescent="0.2">
      <c r="BO323" s="2" t="s">
        <v>370</v>
      </c>
    </row>
    <row r="324" spans="67:67" x14ac:dyDescent="0.2">
      <c r="BO324" s="2" t="s">
        <v>371</v>
      </c>
    </row>
    <row r="325" spans="67:67" x14ac:dyDescent="0.2">
      <c r="BO325" s="2" t="s">
        <v>372</v>
      </c>
    </row>
    <row r="326" spans="67:67" x14ac:dyDescent="0.2">
      <c r="BO326" s="2" t="s">
        <v>373</v>
      </c>
    </row>
    <row r="327" spans="67:67" x14ac:dyDescent="0.2">
      <c r="BO327" s="2" t="s">
        <v>374</v>
      </c>
    </row>
    <row r="328" spans="67:67" x14ac:dyDescent="0.2">
      <c r="BO328" s="2" t="s">
        <v>375</v>
      </c>
    </row>
    <row r="329" spans="67:67" x14ac:dyDescent="0.2">
      <c r="BO329" s="2" t="s">
        <v>376</v>
      </c>
    </row>
    <row r="330" spans="67:67" x14ac:dyDescent="0.2">
      <c r="BO330" s="2" t="s">
        <v>377</v>
      </c>
    </row>
    <row r="331" spans="67:67" x14ac:dyDescent="0.2">
      <c r="BO331" s="2" t="s">
        <v>378</v>
      </c>
    </row>
    <row r="332" spans="67:67" x14ac:dyDescent="0.2">
      <c r="BO332" s="2" t="s">
        <v>379</v>
      </c>
    </row>
    <row r="333" spans="67:67" x14ac:dyDescent="0.2">
      <c r="BO333" s="2" t="s">
        <v>380</v>
      </c>
    </row>
    <row r="334" spans="67:67" x14ac:dyDescent="0.2">
      <c r="BO334" s="2" t="s">
        <v>381</v>
      </c>
    </row>
    <row r="335" spans="67:67" x14ac:dyDescent="0.2">
      <c r="BO335" s="2" t="s">
        <v>382</v>
      </c>
    </row>
    <row r="336" spans="67:67" x14ac:dyDescent="0.2">
      <c r="BO336" s="2" t="s">
        <v>383</v>
      </c>
    </row>
    <row r="337" spans="67:67" x14ac:dyDescent="0.2">
      <c r="BO337" s="2" t="s">
        <v>384</v>
      </c>
    </row>
    <row r="338" spans="67:67" x14ac:dyDescent="0.2">
      <c r="BO338" s="2" t="s">
        <v>385</v>
      </c>
    </row>
    <row r="339" spans="67:67" x14ac:dyDescent="0.2">
      <c r="BO339" s="2" t="s">
        <v>386</v>
      </c>
    </row>
    <row r="340" spans="67:67" x14ac:dyDescent="0.2">
      <c r="BO340" s="2" t="s">
        <v>387</v>
      </c>
    </row>
    <row r="341" spans="67:67" x14ac:dyDescent="0.2">
      <c r="BO341" s="2" t="s">
        <v>388</v>
      </c>
    </row>
    <row r="342" spans="67:67" x14ac:dyDescent="0.2">
      <c r="BO342" s="2" t="s">
        <v>389</v>
      </c>
    </row>
    <row r="343" spans="67:67" x14ac:dyDescent="0.2">
      <c r="BO343" s="2" t="s">
        <v>390</v>
      </c>
    </row>
    <row r="344" spans="67:67" x14ac:dyDescent="0.2">
      <c r="BO344" s="2" t="s">
        <v>391</v>
      </c>
    </row>
    <row r="345" spans="67:67" x14ac:dyDescent="0.2">
      <c r="BO345" s="2"/>
    </row>
    <row r="346" spans="67:67" x14ac:dyDescent="0.2">
      <c r="BO346" s="2"/>
    </row>
    <row r="347" spans="67:67" x14ac:dyDescent="0.2">
      <c r="BO347" s="2"/>
    </row>
    <row r="348" spans="67:67" x14ac:dyDescent="0.2">
      <c r="BO348" s="2"/>
    </row>
    <row r="349" spans="67:67" x14ac:dyDescent="0.2">
      <c r="BO349" s="2"/>
    </row>
    <row r="350" spans="67:67" x14ac:dyDescent="0.2">
      <c r="BO350" s="2"/>
    </row>
    <row r="351" spans="67:67" x14ac:dyDescent="0.2">
      <c r="BO351" s="2"/>
    </row>
    <row r="352" spans="67:67" x14ac:dyDescent="0.2">
      <c r="BO352" s="2"/>
    </row>
    <row r="353" spans="67:67" x14ac:dyDescent="0.2">
      <c r="BO353" s="2"/>
    </row>
  </sheetData>
  <sheetProtection algorithmName="SHA-512" hashValue="kOFuiwq8bNkSIotvp+ndmS3BFyhsLBbzlL/Thvjq3vUQdSP1L0xMEhpAiL5WlmrmyOGD5M3hM+KUwKW8JZ//gQ==" saltValue="oq8POYDXRKROSpnaXXZkDA==" spinCount="100000" sheet="1" objects="1" scenarios="1" selectLockedCells="1"/>
  <mergeCells count="140">
    <mergeCell ref="A90:H90"/>
    <mergeCell ref="A84:F84"/>
    <mergeCell ref="A85:B85"/>
    <mergeCell ref="C85:D85"/>
    <mergeCell ref="F78:H78"/>
    <mergeCell ref="B82:D82"/>
    <mergeCell ref="B79:D79"/>
    <mergeCell ref="B81:D81"/>
    <mergeCell ref="F82:H82"/>
    <mergeCell ref="F81:H81"/>
    <mergeCell ref="A89:H89"/>
    <mergeCell ref="A86:C86"/>
    <mergeCell ref="F80:H80"/>
    <mergeCell ref="B80:D80"/>
    <mergeCell ref="A88:H88"/>
    <mergeCell ref="F79:H79"/>
    <mergeCell ref="A43:D43"/>
    <mergeCell ref="A77:A78"/>
    <mergeCell ref="B77:D77"/>
    <mergeCell ref="B75:D75"/>
    <mergeCell ref="B70:D70"/>
    <mergeCell ref="B69:D69"/>
    <mergeCell ref="A74:H74"/>
    <mergeCell ref="B62:D62"/>
    <mergeCell ref="E75:H75"/>
    <mergeCell ref="B72:D72"/>
    <mergeCell ref="B65:D65"/>
    <mergeCell ref="B66:D66"/>
    <mergeCell ref="B67:D67"/>
    <mergeCell ref="B71:D71"/>
    <mergeCell ref="B63:D63"/>
    <mergeCell ref="B68:D68"/>
    <mergeCell ref="F63:H63"/>
    <mergeCell ref="F61:H61"/>
    <mergeCell ref="B76:D76"/>
    <mergeCell ref="F76:H76"/>
    <mergeCell ref="E77:E78"/>
    <mergeCell ref="F77:H77"/>
    <mergeCell ref="B78:D78"/>
    <mergeCell ref="B61:D61"/>
    <mergeCell ref="F55:H55"/>
    <mergeCell ref="E47:F47"/>
    <mergeCell ref="B55:D55"/>
    <mergeCell ref="B60:D60"/>
    <mergeCell ref="F58:H58"/>
    <mergeCell ref="F56:H56"/>
    <mergeCell ref="F57:H57"/>
    <mergeCell ref="F59:H59"/>
    <mergeCell ref="F60:H60"/>
    <mergeCell ref="B59:D59"/>
    <mergeCell ref="E48:F48"/>
    <mergeCell ref="E49:H49"/>
    <mergeCell ref="A54:H54"/>
    <mergeCell ref="A57:A59"/>
    <mergeCell ref="B58:D58"/>
    <mergeCell ref="B56:D56"/>
    <mergeCell ref="S18:S19"/>
    <mergeCell ref="C33:D33"/>
    <mergeCell ref="G30:H30"/>
    <mergeCell ref="G31:H31"/>
    <mergeCell ref="C27:D27"/>
    <mergeCell ref="E27:F27"/>
    <mergeCell ref="C19:D19"/>
    <mergeCell ref="A22:D22"/>
    <mergeCell ref="G28:H28"/>
    <mergeCell ref="G29:H29"/>
    <mergeCell ref="G19:H19"/>
    <mergeCell ref="A30:B30"/>
    <mergeCell ref="A29:B29"/>
    <mergeCell ref="C29:D29"/>
    <mergeCell ref="E29:F29"/>
    <mergeCell ref="C28:D28"/>
    <mergeCell ref="A26:H26"/>
    <mergeCell ref="E20:F20"/>
    <mergeCell ref="G20:H20"/>
    <mergeCell ref="A20:B20"/>
    <mergeCell ref="C32:D32"/>
    <mergeCell ref="E24:F24"/>
    <mergeCell ref="E32:F32"/>
    <mergeCell ref="A27:B27"/>
    <mergeCell ref="A5:C6"/>
    <mergeCell ref="Q18:Q19"/>
    <mergeCell ref="C16:D16"/>
    <mergeCell ref="A19:B19"/>
    <mergeCell ref="A16:B16"/>
    <mergeCell ref="A12:B12"/>
    <mergeCell ref="C13:E13"/>
    <mergeCell ref="G16:H16"/>
    <mergeCell ref="F7:H7"/>
    <mergeCell ref="F12:H12"/>
    <mergeCell ref="C18:D18"/>
    <mergeCell ref="B7:C7"/>
    <mergeCell ref="F14:G14"/>
    <mergeCell ref="G17:H17"/>
    <mergeCell ref="C17:D17"/>
    <mergeCell ref="E19:F19"/>
    <mergeCell ref="C14:E14"/>
    <mergeCell ref="E16:F16"/>
    <mergeCell ref="A11:B11"/>
    <mergeCell ref="C11:H11"/>
    <mergeCell ref="G18:H18"/>
    <mergeCell ref="E18:F18"/>
    <mergeCell ref="C12:D12"/>
    <mergeCell ref="A24:B24"/>
    <mergeCell ref="G32:H32"/>
    <mergeCell ref="C24:D24"/>
    <mergeCell ref="G24:H24"/>
    <mergeCell ref="C30:D30"/>
    <mergeCell ref="C31:D31"/>
    <mergeCell ref="E31:F31"/>
    <mergeCell ref="C20:D20"/>
    <mergeCell ref="A25:H25"/>
    <mergeCell ref="E30:F30"/>
    <mergeCell ref="G27:H27"/>
    <mergeCell ref="A31:B31"/>
    <mergeCell ref="A32:B32"/>
    <mergeCell ref="G39:H39"/>
    <mergeCell ref="G40:H40"/>
    <mergeCell ref="E85:F85"/>
    <mergeCell ref="C47:D47"/>
    <mergeCell ref="C48:D48"/>
    <mergeCell ref="G47:H47"/>
    <mergeCell ref="G48:H48"/>
    <mergeCell ref="R18:R19"/>
    <mergeCell ref="B15:G15"/>
    <mergeCell ref="P18:P19"/>
    <mergeCell ref="A49:D49"/>
    <mergeCell ref="A36:C36"/>
    <mergeCell ref="A48:B48"/>
    <mergeCell ref="E33:H33"/>
    <mergeCell ref="C41:H41"/>
    <mergeCell ref="A35:C35"/>
    <mergeCell ref="D35:F35"/>
    <mergeCell ref="C39:D39"/>
    <mergeCell ref="C40:D40"/>
    <mergeCell ref="A47:B47"/>
    <mergeCell ref="D36:F36"/>
    <mergeCell ref="F62:H62"/>
    <mergeCell ref="A38:H38"/>
    <mergeCell ref="B57:D57"/>
  </mergeCells>
  <phoneticPr fontId="0" type="noConversion"/>
  <conditionalFormatting sqref="C32:D32">
    <cfRule type="cellIs" dxfId="1" priority="1" stopIfTrue="1" operator="greaterThan">
      <formula>20</formula>
    </cfRule>
    <cfRule type="cellIs" dxfId="0" priority="2" stopIfTrue="1" operator="greaterThan">
      <formula>18.9</formula>
    </cfRule>
  </conditionalFormatting>
  <dataValidations xWindow="306" yWindow="845" count="16">
    <dataValidation type="list" allowBlank="1" showInputMessage="1" showErrorMessage="1" sqref="D36:F37 E39:E40 D42:E43 F42">
      <formula1>$BO$2:$BO$3</formula1>
    </dataValidation>
    <dataValidation type="list" allowBlank="1" showInputMessage="1" showErrorMessage="1" sqref="C47">
      <formula1>$BR$2:$BR$6</formula1>
    </dataValidation>
    <dataValidation allowBlank="1" showInputMessage="1" showErrorMessage="1" promptTitle="Expiry?/Best before?/Production?" prompt="Please enter type of code." sqref="C40:D40"/>
    <dataValidation allowBlank="1" showInputMessage="1" showErrorMessage="1" promptTitle="Example of Code:" prompt="Please provide an example of the actual code printed on the product." sqref="G39:G40 H39"/>
    <dataValidation allowBlank="1" showInputMessage="1" showErrorMessage="1" promptTitle="Interpretation of code:" prompt="Please explain how to interpret this code." sqref="C41"/>
    <dataValidation type="list" allowBlank="1" showInputMessage="1" showErrorMessage="1" errorTitle="Input Error" error="Please choose from the drop down list provided." promptTitle="Freight Terms:" prompt="This field must be completed. For clarification of freight terms please contact Roy Legrow, NLC Pricing Clerk: 709-724-1123 or roy.legrow@nfliquor.com_x000a_" sqref="G16:H16">
      <formula1>$AD$15:$AD$20</formula1>
    </dataValidation>
    <dataValidation type="list" allowBlank="1" showInputMessage="1" showErrorMessage="1" promptTitle="Select from drop-down list" prompt="Please click the down arrow to the right of this cell for a drop-down list." sqref="C13:E13">
      <formula1>Style</formula1>
    </dataValidation>
    <dataValidation type="list" allowBlank="1" showInputMessage="1" showErrorMessage="1" sqref="C14:E14">
      <formula1>ListingType</formula1>
    </dataValidation>
    <dataValidation type="list" allowBlank="1" showInputMessage="1" showErrorMessage="1" sqref="G18:H18">
      <formula1>FreightPoint</formula1>
    </dataValidation>
    <dataValidation type="list" allowBlank="1" showInputMessage="1" showErrorMessage="1" sqref="C12">
      <formula1>ProductType</formula1>
    </dataValidation>
    <dataValidation type="list" allowBlank="1" showInputMessage="1" showErrorMessage="1" sqref="C19:D19">
      <formula1>Currency</formula1>
    </dataValidation>
    <dataValidation type="list" allowBlank="1" showInputMessage="1" showErrorMessage="1" sqref="D35:F35">
      <formula1>deposit</formula1>
    </dataValidation>
    <dataValidation type="list" allowBlank="1" showInputMessage="1" showErrorMessage="1" sqref="G19:H19">
      <formula1>Country</formula1>
    </dataValidation>
    <dataValidation type="list" allowBlank="1" showInputMessage="1" showErrorMessage="1" sqref="F12">
      <formula1>ProductClass</formula1>
    </dataValidation>
    <dataValidation type="list" allowBlank="1" showInputMessage="1" showErrorMessage="1" sqref="C24:D24 G24:H24">
      <formula1>$L$10:$L$11</formula1>
    </dataValidation>
    <dataValidation type="list" allowBlank="1" showInputMessage="1" showErrorMessage="1" sqref="G48">
      <formula1>$BO$97:$BO$344</formula1>
    </dataValidation>
  </dataValidations>
  <hyperlinks>
    <hyperlink ref="B96" r:id="rId1"/>
    <hyperlink ref="F96" r:id="rId2"/>
  </hyperlinks>
  <pageMargins left="0.15748031496063" right="0.15748031496063" top="0.511811023622047" bottom="0.39370078740157499" header="0.23622047244094499" footer="9.8425196850393706E-2"/>
  <pageSetup scale="82" fitToHeight="2" orientation="portrait" r:id="rId3"/>
  <headerFooter alignWithMargins="0">
    <oddHeader>&amp;C&amp;"Arial,Bold"&amp;16PRODUCT APPLICATION FORM</oddHeader>
    <oddFooter>&amp;CPage &amp;P of &amp;N</oddFooter>
  </headerFooter>
  <rowBreaks count="3" manualBreakCount="3">
    <brk id="41" max="7" man="1"/>
    <brk id="53" max="7" man="1"/>
    <brk id="73" max="7" man="1"/>
  </rowBreaks>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workbookViewId="0">
      <selection activeCell="B57" sqref="B57:B129"/>
    </sheetView>
  </sheetViews>
  <sheetFormatPr defaultRowHeight="15" x14ac:dyDescent="0.2"/>
  <cols>
    <col min="1" max="1" width="37.21875" bestFit="1" customWidth="1"/>
  </cols>
  <sheetData>
    <row r="1" spans="1:5" ht="51" x14ac:dyDescent="0.2">
      <c r="A1" s="79" t="s">
        <v>485</v>
      </c>
      <c r="B1" s="79" t="s">
        <v>486</v>
      </c>
      <c r="C1" s="79" t="s">
        <v>487</v>
      </c>
      <c r="D1" s="79" t="s">
        <v>488</v>
      </c>
      <c r="E1" s="79" t="s">
        <v>489</v>
      </c>
    </row>
    <row r="2" spans="1:5" x14ac:dyDescent="0.2">
      <c r="A2" s="64" t="s">
        <v>946</v>
      </c>
      <c r="B2" s="80">
        <v>0</v>
      </c>
      <c r="C2" s="80"/>
      <c r="D2" s="80"/>
      <c r="E2" s="80"/>
    </row>
    <row r="3" spans="1:5" x14ac:dyDescent="0.2">
      <c r="A3" s="64" t="s">
        <v>963</v>
      </c>
      <c r="B3" s="80">
        <v>0</v>
      </c>
      <c r="C3" s="80"/>
      <c r="D3" s="80"/>
      <c r="E3" s="80"/>
    </row>
    <row r="4" spans="1:5" x14ac:dyDescent="0.2">
      <c r="A4" s="64" t="s">
        <v>719</v>
      </c>
      <c r="B4" s="80">
        <v>0.33660000000000001</v>
      </c>
      <c r="C4" s="80"/>
      <c r="D4" s="80"/>
      <c r="E4" s="80"/>
    </row>
    <row r="5" spans="1:5" x14ac:dyDescent="0.2">
      <c r="A5" s="64" t="s">
        <v>1048</v>
      </c>
      <c r="B5" s="80">
        <v>0.33660000000000001</v>
      </c>
      <c r="C5" s="80"/>
      <c r="D5" s="80"/>
      <c r="E5" s="80"/>
    </row>
    <row r="6" spans="1:5" x14ac:dyDescent="0.2">
      <c r="A6" s="64" t="s">
        <v>965</v>
      </c>
      <c r="B6" s="80">
        <v>0.33660000000000001</v>
      </c>
      <c r="C6" s="80"/>
      <c r="D6" s="80"/>
      <c r="E6" s="80"/>
    </row>
    <row r="7" spans="1:5" x14ac:dyDescent="0.2">
      <c r="A7" s="64" t="s">
        <v>720</v>
      </c>
      <c r="B7" s="80">
        <v>0.33660000000000001</v>
      </c>
      <c r="C7" s="80"/>
      <c r="D7" s="80"/>
      <c r="E7" s="80"/>
    </row>
    <row r="8" spans="1:5" x14ac:dyDescent="0.2">
      <c r="A8" s="64" t="s">
        <v>721</v>
      </c>
      <c r="B8" s="80">
        <v>0.33660000000000001</v>
      </c>
      <c r="C8" s="80"/>
      <c r="D8" s="80"/>
      <c r="E8" s="80"/>
    </row>
    <row r="9" spans="1:5" x14ac:dyDescent="0.2">
      <c r="A9" s="64" t="s">
        <v>740</v>
      </c>
      <c r="B9" s="80">
        <v>0</v>
      </c>
      <c r="C9" s="80"/>
      <c r="D9" s="80"/>
      <c r="E9" s="80"/>
    </row>
    <row r="10" spans="1:5" x14ac:dyDescent="0.2">
      <c r="A10" s="87" t="s">
        <v>551</v>
      </c>
      <c r="B10" s="80">
        <v>2.794E-2</v>
      </c>
      <c r="C10" s="80"/>
      <c r="D10" s="80"/>
      <c r="E10" s="80"/>
    </row>
    <row r="11" spans="1:5" x14ac:dyDescent="0.2">
      <c r="A11" s="92" t="s">
        <v>736</v>
      </c>
      <c r="B11" s="80">
        <v>2.1000000000000001E-2</v>
      </c>
      <c r="C11" s="80"/>
      <c r="D11" s="80"/>
      <c r="E11" s="80"/>
    </row>
    <row r="12" spans="1:5" x14ac:dyDescent="0.2">
      <c r="A12" s="92" t="s">
        <v>1047</v>
      </c>
      <c r="B12" s="80">
        <v>2.1000000000000001E-2</v>
      </c>
      <c r="C12" s="80"/>
      <c r="D12" s="80">
        <v>0</v>
      </c>
      <c r="E12" s="80"/>
    </row>
    <row r="13" spans="1:5" x14ac:dyDescent="0.2">
      <c r="A13" s="92" t="s">
        <v>966</v>
      </c>
      <c r="B13" s="80">
        <v>2.1000000000000001E-2</v>
      </c>
      <c r="C13" s="80"/>
      <c r="D13" s="80">
        <v>3.3000000000000002E-2</v>
      </c>
      <c r="E13" s="80"/>
    </row>
    <row r="14" spans="1:5" x14ac:dyDescent="0.2">
      <c r="A14" s="92" t="s">
        <v>738</v>
      </c>
      <c r="B14" s="80">
        <v>2.1000000000000001E-2</v>
      </c>
      <c r="C14" s="80"/>
      <c r="D14" s="80">
        <v>3.3000000000000002E-2</v>
      </c>
      <c r="E14" s="80"/>
    </row>
    <row r="15" spans="1:5" x14ac:dyDescent="0.2">
      <c r="A15" s="92" t="s">
        <v>739</v>
      </c>
      <c r="B15" s="80">
        <v>2.1000000000000001E-2</v>
      </c>
      <c r="C15" s="80"/>
      <c r="D15" s="80"/>
      <c r="E15" s="80"/>
    </row>
    <row r="16" spans="1:5" x14ac:dyDescent="0.2">
      <c r="A16" s="80" t="s">
        <v>490</v>
      </c>
      <c r="B16" s="80">
        <v>2.1000000000000001E-2</v>
      </c>
      <c r="C16" s="80"/>
      <c r="D16" s="80"/>
      <c r="E16" s="80"/>
    </row>
    <row r="17" spans="1:5" x14ac:dyDescent="0.2">
      <c r="A17" s="80" t="s">
        <v>967</v>
      </c>
      <c r="B17" s="80">
        <v>2.1000000000000001E-2</v>
      </c>
      <c r="C17" s="80"/>
      <c r="D17" s="80"/>
      <c r="E17" s="80"/>
    </row>
    <row r="18" spans="1:5" x14ac:dyDescent="0.2">
      <c r="A18" s="80" t="s">
        <v>491</v>
      </c>
      <c r="B18" s="80">
        <v>2.1000000000000001E-2</v>
      </c>
      <c r="C18" s="80"/>
      <c r="D18" s="80">
        <v>3.3000000000000002E-2</v>
      </c>
      <c r="E18" s="80"/>
    </row>
    <row r="19" spans="1:5" x14ac:dyDescent="0.2">
      <c r="A19" s="80" t="s">
        <v>492</v>
      </c>
      <c r="B19" s="80">
        <v>2.1000000000000001E-2</v>
      </c>
      <c r="C19" s="80"/>
      <c r="D19" s="80"/>
      <c r="E19" s="80"/>
    </row>
    <row r="20" spans="1:5" x14ac:dyDescent="0.2">
      <c r="A20" s="92" t="s">
        <v>786</v>
      </c>
      <c r="B20" s="80">
        <v>0</v>
      </c>
      <c r="C20" s="80"/>
      <c r="D20" s="80"/>
      <c r="E20" s="80"/>
    </row>
    <row r="21" spans="1:5" x14ac:dyDescent="0.2">
      <c r="A21" s="92" t="s">
        <v>830</v>
      </c>
      <c r="B21" s="80">
        <v>0.66500000000000004</v>
      </c>
      <c r="C21" s="80"/>
      <c r="D21" s="80"/>
      <c r="E21" s="80"/>
    </row>
    <row r="22" spans="1:5" x14ac:dyDescent="0.2">
      <c r="A22" s="92" t="s">
        <v>968</v>
      </c>
      <c r="B22" s="80">
        <v>0.66500000000000004</v>
      </c>
      <c r="C22" s="80"/>
      <c r="D22" s="80">
        <v>0</v>
      </c>
      <c r="E22" s="80"/>
    </row>
    <row r="23" spans="1:5" x14ac:dyDescent="0.2">
      <c r="A23" s="87" t="s">
        <v>784</v>
      </c>
      <c r="B23" s="80">
        <v>0.66500000000000004</v>
      </c>
      <c r="C23" s="80"/>
      <c r="D23" s="80">
        <v>0</v>
      </c>
      <c r="E23" s="80"/>
    </row>
    <row r="24" spans="1:5" x14ac:dyDescent="0.2">
      <c r="A24" s="92" t="s">
        <v>1040</v>
      </c>
      <c r="B24" s="80">
        <v>0.66500000000000004</v>
      </c>
      <c r="C24" s="80"/>
      <c r="D24" s="80">
        <v>0</v>
      </c>
      <c r="E24" s="80"/>
    </row>
    <row r="25" spans="1:5" x14ac:dyDescent="0.2">
      <c r="A25" s="92" t="s">
        <v>785</v>
      </c>
      <c r="B25" s="80">
        <v>0.66500000000000004</v>
      </c>
      <c r="C25" s="80"/>
      <c r="D25" s="80"/>
      <c r="E25" s="80"/>
    </row>
    <row r="26" spans="1:5" x14ac:dyDescent="0.2">
      <c r="A26" s="92" t="s">
        <v>782</v>
      </c>
      <c r="B26" s="80">
        <v>0</v>
      </c>
      <c r="C26" s="80"/>
      <c r="D26" s="80"/>
      <c r="E26" s="80"/>
    </row>
    <row r="27" spans="1:5" x14ac:dyDescent="0.2">
      <c r="A27" s="92" t="s">
        <v>831</v>
      </c>
      <c r="B27" s="80">
        <v>0.31900000000000001</v>
      </c>
      <c r="C27" s="80"/>
      <c r="D27" s="80"/>
      <c r="E27" s="80"/>
    </row>
    <row r="28" spans="1:5" x14ac:dyDescent="0.2">
      <c r="A28" s="92" t="s">
        <v>969</v>
      </c>
      <c r="B28" s="80">
        <v>0.31900000000000001</v>
      </c>
      <c r="C28" s="80"/>
      <c r="D28" s="80">
        <v>0</v>
      </c>
      <c r="E28" s="80"/>
    </row>
    <row r="29" spans="1:5" x14ac:dyDescent="0.2">
      <c r="A29" s="87" t="s">
        <v>781</v>
      </c>
      <c r="B29" s="80">
        <v>0.31900000000000001</v>
      </c>
      <c r="C29" s="80"/>
      <c r="D29" s="80">
        <v>0</v>
      </c>
      <c r="E29" s="80"/>
    </row>
    <row r="30" spans="1:5" x14ac:dyDescent="0.2">
      <c r="A30" s="92" t="s">
        <v>1041</v>
      </c>
      <c r="B30" s="80">
        <v>0.31900000000000001</v>
      </c>
      <c r="C30" s="80"/>
      <c r="D30" s="80">
        <v>0</v>
      </c>
      <c r="E30" s="80"/>
    </row>
    <row r="31" spans="1:5" x14ac:dyDescent="0.2">
      <c r="A31" s="92" t="s">
        <v>783</v>
      </c>
      <c r="B31" s="80">
        <v>0.31900000000000001</v>
      </c>
      <c r="C31" s="80"/>
      <c r="D31" s="80"/>
      <c r="E31" s="80"/>
    </row>
    <row r="32" spans="1:5" x14ac:dyDescent="0.2">
      <c r="A32" s="92" t="s">
        <v>792</v>
      </c>
      <c r="B32" s="80">
        <v>0</v>
      </c>
      <c r="C32" s="80"/>
      <c r="D32" s="80"/>
      <c r="E32" s="80"/>
    </row>
    <row r="33" spans="1:5" x14ac:dyDescent="0.2">
      <c r="A33" s="92" t="s">
        <v>793</v>
      </c>
      <c r="B33" s="80">
        <v>0.31900000000000001</v>
      </c>
      <c r="C33" s="80"/>
      <c r="D33" s="80">
        <v>0</v>
      </c>
      <c r="E33" s="80"/>
    </row>
    <row r="34" spans="1:5" x14ac:dyDescent="0.2">
      <c r="A34" s="92" t="s">
        <v>1042</v>
      </c>
      <c r="B34" s="80">
        <v>0.31900000000000001</v>
      </c>
      <c r="C34" s="80"/>
      <c r="D34" s="80">
        <v>0</v>
      </c>
      <c r="E34" s="80"/>
    </row>
    <row r="35" spans="1:5" x14ac:dyDescent="0.2">
      <c r="A35" s="92" t="s">
        <v>970</v>
      </c>
      <c r="B35" s="80">
        <v>0.31900000000000001</v>
      </c>
      <c r="C35" s="80"/>
      <c r="D35" s="80"/>
      <c r="E35" s="80"/>
    </row>
    <row r="36" spans="1:5" x14ac:dyDescent="0.2">
      <c r="A36" s="92" t="s">
        <v>794</v>
      </c>
      <c r="B36" s="80">
        <v>0.31900000000000001</v>
      </c>
      <c r="C36" s="80"/>
      <c r="D36" s="80">
        <v>1.8700000000000001E-2</v>
      </c>
      <c r="E36" s="80"/>
    </row>
    <row r="37" spans="1:5" x14ac:dyDescent="0.2">
      <c r="A37" s="92" t="s">
        <v>795</v>
      </c>
      <c r="B37" s="80">
        <v>0.31900000000000001</v>
      </c>
      <c r="C37" s="80"/>
      <c r="D37" s="80"/>
      <c r="E37" s="80"/>
    </row>
    <row r="38" spans="1:5" x14ac:dyDescent="0.2">
      <c r="A38" s="80" t="s">
        <v>723</v>
      </c>
      <c r="B38" s="80">
        <v>0</v>
      </c>
      <c r="C38" s="80"/>
      <c r="D38" s="80"/>
      <c r="E38" s="80"/>
    </row>
    <row r="39" spans="1:5" x14ac:dyDescent="0.2">
      <c r="A39" s="80" t="s">
        <v>725</v>
      </c>
      <c r="B39" s="80">
        <v>0.66500000000000004</v>
      </c>
      <c r="C39" s="80"/>
      <c r="D39" s="80"/>
      <c r="E39" s="80"/>
    </row>
    <row r="40" spans="1:5" x14ac:dyDescent="0.2">
      <c r="A40" s="92" t="s">
        <v>1043</v>
      </c>
      <c r="B40" s="80">
        <v>0.66500000000000004</v>
      </c>
      <c r="C40" s="80"/>
      <c r="D40" s="80">
        <v>0</v>
      </c>
      <c r="E40" s="80"/>
    </row>
    <row r="41" spans="1:5" x14ac:dyDescent="0.2">
      <c r="A41" s="80" t="s">
        <v>971</v>
      </c>
      <c r="B41" s="80">
        <v>0.66500000000000004</v>
      </c>
      <c r="C41" s="80"/>
      <c r="D41" s="80"/>
      <c r="E41" s="80"/>
    </row>
    <row r="42" spans="1:5" x14ac:dyDescent="0.2">
      <c r="A42" s="80" t="s">
        <v>722</v>
      </c>
      <c r="B42" s="80">
        <v>0.66500000000000004</v>
      </c>
      <c r="C42" s="80"/>
      <c r="D42" s="80">
        <v>1.8700000000000001E-2</v>
      </c>
      <c r="E42" s="80"/>
    </row>
    <row r="43" spans="1:5" x14ac:dyDescent="0.2">
      <c r="A43" s="80" t="s">
        <v>724</v>
      </c>
      <c r="B43" s="80">
        <v>0.66500000000000004</v>
      </c>
      <c r="C43" s="80"/>
      <c r="D43" s="80"/>
      <c r="E43" s="80"/>
    </row>
    <row r="44" spans="1:5" x14ac:dyDescent="0.2">
      <c r="A44" s="92" t="s">
        <v>726</v>
      </c>
      <c r="B44" s="80">
        <v>0</v>
      </c>
      <c r="C44" s="80"/>
      <c r="D44" s="80">
        <v>0</v>
      </c>
      <c r="E44" s="80"/>
    </row>
    <row r="45" spans="1:5" x14ac:dyDescent="0.2">
      <c r="A45" s="92" t="s">
        <v>790</v>
      </c>
      <c r="B45" s="80">
        <v>0.66500000000000004</v>
      </c>
      <c r="C45" s="80"/>
      <c r="D45" s="80">
        <v>0</v>
      </c>
      <c r="E45" s="80"/>
    </row>
    <row r="46" spans="1:5" x14ac:dyDescent="0.2">
      <c r="A46" s="92" t="s">
        <v>1044</v>
      </c>
      <c r="B46" s="80">
        <v>0.66500000000000004</v>
      </c>
      <c r="C46" s="80"/>
      <c r="D46" s="80">
        <v>0</v>
      </c>
      <c r="E46" s="80"/>
    </row>
    <row r="47" spans="1:5" x14ac:dyDescent="0.2">
      <c r="A47" s="92" t="s">
        <v>972</v>
      </c>
      <c r="B47" s="80">
        <v>0.66500000000000004</v>
      </c>
      <c r="C47" s="80"/>
      <c r="D47" s="80"/>
      <c r="E47" s="80"/>
    </row>
    <row r="48" spans="1:5" x14ac:dyDescent="0.2">
      <c r="A48" s="92" t="s">
        <v>727</v>
      </c>
      <c r="B48" s="80">
        <v>0.66500000000000004</v>
      </c>
      <c r="C48" s="80"/>
      <c r="D48" s="80">
        <v>4.6800000000000001E-2</v>
      </c>
      <c r="E48" s="80"/>
    </row>
    <row r="49" spans="1:5" x14ac:dyDescent="0.2">
      <c r="A49" s="92" t="s">
        <v>728</v>
      </c>
      <c r="B49" s="80">
        <v>0.66500000000000004</v>
      </c>
      <c r="C49" s="80"/>
      <c r="D49" s="80"/>
      <c r="E49" s="80"/>
    </row>
    <row r="50" spans="1:5" x14ac:dyDescent="0.2">
      <c r="A50" s="92" t="s">
        <v>729</v>
      </c>
      <c r="B50" s="80">
        <v>0</v>
      </c>
      <c r="C50" s="80"/>
      <c r="D50" s="80"/>
      <c r="E50" s="80"/>
    </row>
    <row r="51" spans="1:5" x14ac:dyDescent="0.2">
      <c r="A51" s="92" t="s">
        <v>791</v>
      </c>
      <c r="B51" s="80">
        <v>0.66500000000000004</v>
      </c>
      <c r="C51" s="80"/>
      <c r="D51" s="80"/>
      <c r="E51" s="80"/>
    </row>
    <row r="52" spans="1:5" x14ac:dyDescent="0.2">
      <c r="A52" s="92" t="s">
        <v>1045</v>
      </c>
      <c r="B52" s="80">
        <v>0.66500000000000004</v>
      </c>
      <c r="C52" s="80"/>
      <c r="D52" s="80"/>
      <c r="E52" s="80"/>
    </row>
    <row r="53" spans="1:5" x14ac:dyDescent="0.2">
      <c r="A53" s="92" t="s">
        <v>973</v>
      </c>
      <c r="B53" s="80">
        <v>0.66500000000000004</v>
      </c>
      <c r="C53" s="80"/>
      <c r="D53" s="80"/>
      <c r="E53" s="80"/>
    </row>
    <row r="54" spans="1:5" x14ac:dyDescent="0.2">
      <c r="A54" s="92" t="s">
        <v>730</v>
      </c>
      <c r="B54" s="80">
        <v>0.66500000000000004</v>
      </c>
      <c r="C54" s="80"/>
      <c r="D54" s="80"/>
      <c r="E54" s="80"/>
    </row>
    <row r="55" spans="1:5" x14ac:dyDescent="0.2">
      <c r="A55" s="92" t="s">
        <v>731</v>
      </c>
      <c r="B55" s="80">
        <v>0.66500000000000004</v>
      </c>
      <c r="C55" s="80"/>
      <c r="D55" s="80"/>
      <c r="E55" s="80"/>
    </row>
    <row r="56" spans="1:5" x14ac:dyDescent="0.2">
      <c r="A56" s="92" t="s">
        <v>732</v>
      </c>
      <c r="B56" s="80">
        <v>12.61</v>
      </c>
      <c r="C56" s="80" t="s">
        <v>493</v>
      </c>
      <c r="D56" s="80"/>
      <c r="E56" s="80"/>
    </row>
    <row r="57" spans="1:5" x14ac:dyDescent="0.2">
      <c r="A57" s="92" t="s">
        <v>1046</v>
      </c>
      <c r="B57" s="80">
        <v>12.61</v>
      </c>
      <c r="C57" s="80" t="s">
        <v>493</v>
      </c>
      <c r="D57" s="80"/>
      <c r="E57" s="80"/>
    </row>
    <row r="58" spans="1:5" x14ac:dyDescent="0.2">
      <c r="A58" s="92" t="s">
        <v>974</v>
      </c>
      <c r="B58" s="80">
        <v>12.61</v>
      </c>
      <c r="C58" s="80" t="s">
        <v>493</v>
      </c>
      <c r="D58" s="80"/>
      <c r="E58" s="80"/>
    </row>
    <row r="59" spans="1:5" x14ac:dyDescent="0.2">
      <c r="A59" s="92" t="s">
        <v>733</v>
      </c>
      <c r="B59" s="80">
        <v>12.61</v>
      </c>
      <c r="C59" s="80" t="s">
        <v>493</v>
      </c>
      <c r="D59" s="80"/>
      <c r="E59" s="80"/>
    </row>
    <row r="60" spans="1:5" x14ac:dyDescent="0.2">
      <c r="A60" s="92" t="s">
        <v>734</v>
      </c>
      <c r="B60" s="80">
        <v>12.61</v>
      </c>
      <c r="C60" s="80" t="s">
        <v>493</v>
      </c>
      <c r="D60" s="80"/>
      <c r="E60" s="80"/>
    </row>
    <row r="61" spans="1:5" x14ac:dyDescent="0.2">
      <c r="A61" s="87" t="s">
        <v>592</v>
      </c>
      <c r="B61" s="80">
        <v>0.66500000000000004</v>
      </c>
      <c r="C61" s="80"/>
      <c r="D61" s="80"/>
      <c r="E61" s="80"/>
    </row>
    <row r="62" spans="1:5" x14ac:dyDescent="0.2">
      <c r="A62" s="92" t="s">
        <v>975</v>
      </c>
      <c r="B62" s="80">
        <v>0.66500000000000004</v>
      </c>
      <c r="C62" s="80"/>
      <c r="D62" s="80"/>
      <c r="E62" s="80"/>
    </row>
    <row r="63" spans="1:5" x14ac:dyDescent="0.2">
      <c r="A63" s="87" t="s">
        <v>593</v>
      </c>
      <c r="B63" s="80">
        <v>0.66500000000000004</v>
      </c>
      <c r="C63" s="80"/>
      <c r="D63" s="80"/>
      <c r="E63" s="80"/>
    </row>
    <row r="64" spans="1:5" x14ac:dyDescent="0.2">
      <c r="A64" s="87" t="s">
        <v>594</v>
      </c>
      <c r="B64" s="80">
        <v>0.66500000000000004</v>
      </c>
      <c r="C64" s="80"/>
      <c r="D64" s="80"/>
      <c r="E64" s="80"/>
    </row>
    <row r="65" spans="1:5" x14ac:dyDescent="0.2">
      <c r="A65" s="87" t="s">
        <v>588</v>
      </c>
      <c r="B65" s="80">
        <v>0.31900000000000001</v>
      </c>
      <c r="C65" s="80"/>
      <c r="D65" s="80"/>
      <c r="E65" s="80"/>
    </row>
    <row r="66" spans="1:5" x14ac:dyDescent="0.2">
      <c r="A66" s="92" t="s">
        <v>976</v>
      </c>
      <c r="B66" s="80">
        <v>0.31900000000000001</v>
      </c>
      <c r="C66" s="80"/>
      <c r="D66" s="80"/>
      <c r="E66" s="80"/>
    </row>
    <row r="67" spans="1:5" x14ac:dyDescent="0.2">
      <c r="A67" s="87" t="s">
        <v>589</v>
      </c>
      <c r="B67" s="80">
        <v>0.31900000000000001</v>
      </c>
      <c r="C67" s="80"/>
      <c r="D67" s="80">
        <v>0.12280000000000001</v>
      </c>
      <c r="E67" s="80" t="s">
        <v>493</v>
      </c>
    </row>
    <row r="68" spans="1:5" x14ac:dyDescent="0.2">
      <c r="A68" s="87" t="s">
        <v>590</v>
      </c>
      <c r="B68" s="80">
        <v>0.31900000000000001</v>
      </c>
      <c r="C68" s="80"/>
      <c r="D68" s="80"/>
      <c r="E68" s="80"/>
    </row>
    <row r="69" spans="1:5" x14ac:dyDescent="0.2">
      <c r="A69" s="92" t="s">
        <v>823</v>
      </c>
      <c r="B69" s="80">
        <v>0.31900000000000001</v>
      </c>
      <c r="C69" s="80"/>
      <c r="D69" s="80"/>
      <c r="E69" s="80"/>
    </row>
    <row r="70" spans="1:5" x14ac:dyDescent="0.2">
      <c r="A70" s="92" t="s">
        <v>977</v>
      </c>
      <c r="B70" s="80">
        <v>0.31900000000000001</v>
      </c>
      <c r="C70" s="80"/>
      <c r="D70" s="80"/>
      <c r="E70" s="80"/>
    </row>
    <row r="71" spans="1:5" x14ac:dyDescent="0.2">
      <c r="A71" s="92" t="s">
        <v>824</v>
      </c>
      <c r="B71" s="80">
        <v>0.31900000000000001</v>
      </c>
      <c r="C71" s="80"/>
      <c r="D71" s="80">
        <v>0.12280000000000001</v>
      </c>
      <c r="E71" s="80" t="s">
        <v>493</v>
      </c>
    </row>
    <row r="72" spans="1:5" x14ac:dyDescent="0.2">
      <c r="A72" s="92" t="s">
        <v>825</v>
      </c>
      <c r="B72" s="80">
        <v>0.31900000000000001</v>
      </c>
      <c r="C72" s="80"/>
      <c r="D72" s="80"/>
      <c r="E72" s="80"/>
    </row>
    <row r="73" spans="1:5" x14ac:dyDescent="0.2">
      <c r="A73" s="80" t="s">
        <v>826</v>
      </c>
      <c r="B73" s="80">
        <v>12.61</v>
      </c>
      <c r="C73" s="80" t="s">
        <v>493</v>
      </c>
      <c r="D73" s="80"/>
      <c r="E73" s="80"/>
    </row>
    <row r="74" spans="1:5" x14ac:dyDescent="0.2">
      <c r="A74" s="80" t="s">
        <v>978</v>
      </c>
      <c r="B74" s="80">
        <v>12.61</v>
      </c>
      <c r="C74" s="80" t="s">
        <v>493</v>
      </c>
      <c r="D74" s="80"/>
      <c r="E74" s="80"/>
    </row>
    <row r="75" spans="1:5" x14ac:dyDescent="0.2">
      <c r="A75" s="80" t="s">
        <v>827</v>
      </c>
      <c r="B75" s="80">
        <v>12.61</v>
      </c>
      <c r="C75" s="80" t="s">
        <v>493</v>
      </c>
      <c r="D75" s="80">
        <v>0.12280000000000001</v>
      </c>
      <c r="E75" s="80" t="s">
        <v>493</v>
      </c>
    </row>
    <row r="76" spans="1:5" x14ac:dyDescent="0.2">
      <c r="A76" s="80" t="s">
        <v>828</v>
      </c>
      <c r="B76" s="80">
        <v>12.61</v>
      </c>
      <c r="C76" s="80" t="s">
        <v>493</v>
      </c>
      <c r="D76" s="80"/>
      <c r="E76" s="80"/>
    </row>
    <row r="77" spans="1:5" x14ac:dyDescent="0.2">
      <c r="A77" s="87" t="s">
        <v>579</v>
      </c>
      <c r="B77" s="80">
        <v>0.66500000000000004</v>
      </c>
      <c r="C77" s="80"/>
      <c r="D77" s="80"/>
      <c r="E77" s="80"/>
    </row>
    <row r="78" spans="1:5" x14ac:dyDescent="0.2">
      <c r="A78" s="92" t="s">
        <v>979</v>
      </c>
      <c r="B78" s="80">
        <v>0.66500000000000004</v>
      </c>
      <c r="C78" s="80"/>
      <c r="D78" s="80"/>
      <c r="E78" s="80"/>
    </row>
    <row r="79" spans="1:5" x14ac:dyDescent="0.2">
      <c r="A79" s="87" t="s">
        <v>580</v>
      </c>
      <c r="B79" s="80">
        <v>0.66500000000000004</v>
      </c>
      <c r="C79" s="80"/>
      <c r="D79" s="80"/>
      <c r="E79" s="80"/>
    </row>
    <row r="80" spans="1:5" x14ac:dyDescent="0.2">
      <c r="A80" s="87" t="s">
        <v>581</v>
      </c>
      <c r="B80" s="80">
        <v>0.66500000000000004</v>
      </c>
      <c r="C80" s="80"/>
      <c r="D80" s="80"/>
      <c r="E80" s="80"/>
    </row>
    <row r="81" spans="1:5" x14ac:dyDescent="0.2">
      <c r="A81" s="87" t="s">
        <v>576</v>
      </c>
      <c r="B81" s="80">
        <v>0.31900000000000001</v>
      </c>
      <c r="C81" s="80"/>
      <c r="D81" s="80"/>
      <c r="E81" s="80"/>
    </row>
    <row r="82" spans="1:5" x14ac:dyDescent="0.2">
      <c r="A82" s="92" t="s">
        <v>980</v>
      </c>
      <c r="B82" s="80">
        <v>0.31900000000000001</v>
      </c>
      <c r="C82" s="80"/>
      <c r="D82" s="80"/>
      <c r="E82" s="80"/>
    </row>
    <row r="83" spans="1:5" x14ac:dyDescent="0.2">
      <c r="A83" s="92" t="s">
        <v>809</v>
      </c>
      <c r="B83" s="80">
        <v>0.31900000000000001</v>
      </c>
      <c r="C83" s="80"/>
      <c r="D83" s="80">
        <v>0.03</v>
      </c>
      <c r="E83" s="80" t="s">
        <v>494</v>
      </c>
    </row>
    <row r="84" spans="1:5" x14ac:dyDescent="0.2">
      <c r="A84" s="87" t="s">
        <v>577</v>
      </c>
      <c r="B84" s="80">
        <v>0.31900000000000001</v>
      </c>
      <c r="C84" s="80"/>
      <c r="D84" s="80"/>
      <c r="E84" s="80"/>
    </row>
    <row r="85" spans="1:5" x14ac:dyDescent="0.2">
      <c r="A85" s="92" t="s">
        <v>981</v>
      </c>
      <c r="B85" s="80">
        <v>0.31900000000000001</v>
      </c>
      <c r="C85" s="80"/>
      <c r="D85" s="80"/>
      <c r="E85" s="80"/>
    </row>
    <row r="86" spans="1:5" x14ac:dyDescent="0.2">
      <c r="A86" s="92" t="s">
        <v>752</v>
      </c>
      <c r="B86" s="80">
        <v>0.31900000000000001</v>
      </c>
      <c r="C86" s="80"/>
      <c r="D86" s="80">
        <v>0.03</v>
      </c>
      <c r="E86" s="80" t="s">
        <v>494</v>
      </c>
    </row>
    <row r="87" spans="1:5" x14ac:dyDescent="0.2">
      <c r="A87" s="92" t="s">
        <v>862</v>
      </c>
      <c r="B87" s="80">
        <v>0.31900000000000001</v>
      </c>
      <c r="C87" s="80"/>
      <c r="D87" s="80"/>
      <c r="E87" s="80"/>
    </row>
    <row r="88" spans="1:5" x14ac:dyDescent="0.2">
      <c r="A88" s="87" t="s">
        <v>582</v>
      </c>
      <c r="B88" s="80">
        <v>0.31900000000000001</v>
      </c>
      <c r="C88" s="80"/>
      <c r="D88" s="80"/>
      <c r="E88" s="80"/>
    </row>
    <row r="89" spans="1:5" x14ac:dyDescent="0.2">
      <c r="A89" s="92" t="s">
        <v>982</v>
      </c>
      <c r="B89" s="80">
        <v>0.31900000000000001</v>
      </c>
      <c r="C89" s="80"/>
      <c r="D89" s="80"/>
      <c r="E89" s="80"/>
    </row>
    <row r="90" spans="1:5" x14ac:dyDescent="0.2">
      <c r="A90" s="87" t="s">
        <v>583</v>
      </c>
      <c r="B90" s="80">
        <v>0.31900000000000001</v>
      </c>
      <c r="C90" s="80"/>
      <c r="D90" s="80">
        <v>0.28160000000000002</v>
      </c>
      <c r="E90" s="80"/>
    </row>
    <row r="91" spans="1:5" x14ac:dyDescent="0.2">
      <c r="A91" s="87" t="s">
        <v>584</v>
      </c>
      <c r="B91" s="80">
        <v>0.31900000000000001</v>
      </c>
      <c r="C91" s="80"/>
      <c r="D91" s="80"/>
      <c r="E91" s="80"/>
    </row>
    <row r="92" spans="1:5" x14ac:dyDescent="0.2">
      <c r="A92" s="87" t="s">
        <v>585</v>
      </c>
      <c r="B92" s="80">
        <v>0.31900000000000001</v>
      </c>
      <c r="C92" s="80"/>
      <c r="D92" s="80"/>
      <c r="E92" s="80"/>
    </row>
    <row r="93" spans="1:5" x14ac:dyDescent="0.2">
      <c r="A93" s="92" t="s">
        <v>983</v>
      </c>
      <c r="B93" s="80">
        <v>0.31900000000000001</v>
      </c>
      <c r="C93" s="80"/>
      <c r="D93" s="80"/>
      <c r="E93" s="80"/>
    </row>
    <row r="94" spans="1:5" x14ac:dyDescent="0.2">
      <c r="A94" s="87" t="s">
        <v>586</v>
      </c>
      <c r="B94" s="80">
        <v>0.31900000000000001</v>
      </c>
      <c r="C94" s="80"/>
      <c r="D94" s="80">
        <v>0.2112</v>
      </c>
      <c r="E94" s="80"/>
    </row>
    <row r="95" spans="1:5" x14ac:dyDescent="0.2">
      <c r="A95" s="87" t="s">
        <v>587</v>
      </c>
      <c r="B95" s="80">
        <v>0.31900000000000001</v>
      </c>
      <c r="C95" s="80"/>
      <c r="D95" s="80"/>
      <c r="E95" s="80"/>
    </row>
    <row r="96" spans="1:5" x14ac:dyDescent="0.2">
      <c r="A96" s="87" t="s">
        <v>571</v>
      </c>
      <c r="B96" s="80">
        <v>12.61</v>
      </c>
      <c r="C96" s="80" t="s">
        <v>493</v>
      </c>
      <c r="D96" s="80"/>
      <c r="E96" s="80"/>
    </row>
    <row r="97" spans="1:5" x14ac:dyDescent="0.2">
      <c r="A97" s="92" t="s">
        <v>984</v>
      </c>
      <c r="B97" s="80">
        <v>12.61</v>
      </c>
      <c r="C97" s="80" t="s">
        <v>493</v>
      </c>
      <c r="D97" s="80"/>
      <c r="E97" s="80"/>
    </row>
    <row r="98" spans="1:5" x14ac:dyDescent="0.2">
      <c r="A98" s="87" t="s">
        <v>572</v>
      </c>
      <c r="B98" s="80">
        <v>12.61</v>
      </c>
      <c r="C98" s="80" t="s">
        <v>493</v>
      </c>
      <c r="D98" s="80"/>
      <c r="E98" s="80"/>
    </row>
    <row r="99" spans="1:5" x14ac:dyDescent="0.2">
      <c r="A99" s="87" t="s">
        <v>573</v>
      </c>
      <c r="B99" s="80">
        <v>12.61</v>
      </c>
      <c r="C99" s="80" t="s">
        <v>493</v>
      </c>
      <c r="D99" s="80"/>
      <c r="E99" s="80"/>
    </row>
    <row r="100" spans="1:5" x14ac:dyDescent="0.2">
      <c r="A100" s="87" t="s">
        <v>554</v>
      </c>
      <c r="B100" s="80">
        <v>12.61</v>
      </c>
      <c r="C100" s="80" t="s">
        <v>493</v>
      </c>
      <c r="D100" s="80"/>
      <c r="E100" s="80"/>
    </row>
    <row r="101" spans="1:5" x14ac:dyDescent="0.2">
      <c r="A101" s="92" t="s">
        <v>1049</v>
      </c>
      <c r="B101" s="80">
        <v>12.61</v>
      </c>
      <c r="C101" s="80" t="s">
        <v>493</v>
      </c>
      <c r="D101" s="80"/>
      <c r="E101" s="80"/>
    </row>
    <row r="102" spans="1:5" x14ac:dyDescent="0.2">
      <c r="A102" s="92" t="s">
        <v>985</v>
      </c>
      <c r="B102" s="80">
        <v>12.61</v>
      </c>
      <c r="C102" s="80" t="s">
        <v>493</v>
      </c>
      <c r="D102" s="80"/>
      <c r="E102" s="80"/>
    </row>
    <row r="103" spans="1:5" x14ac:dyDescent="0.2">
      <c r="A103" s="87" t="s">
        <v>552</v>
      </c>
      <c r="B103" s="80">
        <v>12.61</v>
      </c>
      <c r="C103" s="80" t="s">
        <v>493</v>
      </c>
      <c r="D103" s="80"/>
      <c r="E103" s="80"/>
    </row>
    <row r="104" spans="1:5" x14ac:dyDescent="0.2">
      <c r="A104" s="87" t="s">
        <v>553</v>
      </c>
      <c r="B104" s="80">
        <v>12.61</v>
      </c>
      <c r="C104" s="80" t="s">
        <v>493</v>
      </c>
      <c r="D104" s="80"/>
      <c r="E104" s="80"/>
    </row>
    <row r="105" spans="1:5" x14ac:dyDescent="0.2">
      <c r="A105" s="87" t="s">
        <v>555</v>
      </c>
      <c r="B105" s="80">
        <v>12.61</v>
      </c>
      <c r="C105" s="80" t="s">
        <v>493</v>
      </c>
      <c r="D105" s="80"/>
      <c r="E105" s="80"/>
    </row>
    <row r="106" spans="1:5" x14ac:dyDescent="0.2">
      <c r="A106" s="92" t="s">
        <v>986</v>
      </c>
      <c r="B106" s="80">
        <v>12.61</v>
      </c>
      <c r="C106" s="80" t="s">
        <v>493</v>
      </c>
      <c r="D106" s="80"/>
      <c r="E106" s="80"/>
    </row>
    <row r="107" spans="1:5" x14ac:dyDescent="0.2">
      <c r="A107" s="87" t="s">
        <v>556</v>
      </c>
      <c r="B107" s="80">
        <v>12.61</v>
      </c>
      <c r="C107" s="80" t="s">
        <v>493</v>
      </c>
      <c r="D107" s="80">
        <v>0.24560000000000001</v>
      </c>
      <c r="E107" s="80" t="s">
        <v>493</v>
      </c>
    </row>
    <row r="108" spans="1:5" x14ac:dyDescent="0.2">
      <c r="A108" s="87" t="s">
        <v>557</v>
      </c>
      <c r="B108" s="80">
        <v>12.61</v>
      </c>
      <c r="C108" s="80" t="s">
        <v>493</v>
      </c>
      <c r="D108" s="80"/>
      <c r="E108" s="80"/>
    </row>
    <row r="109" spans="1:5" x14ac:dyDescent="0.2">
      <c r="A109" s="87" t="s">
        <v>558</v>
      </c>
      <c r="B109" s="80">
        <v>12.61</v>
      </c>
      <c r="C109" s="80" t="s">
        <v>493</v>
      </c>
      <c r="D109" s="80"/>
      <c r="E109" s="80"/>
    </row>
    <row r="110" spans="1:5" x14ac:dyDescent="0.2">
      <c r="A110" s="92" t="s">
        <v>987</v>
      </c>
      <c r="B110" s="80">
        <v>12.61</v>
      </c>
      <c r="C110" s="80" t="s">
        <v>493</v>
      </c>
      <c r="D110" s="80"/>
      <c r="E110" s="80"/>
    </row>
    <row r="111" spans="1:5" x14ac:dyDescent="0.2">
      <c r="A111" s="87" t="s">
        <v>559</v>
      </c>
      <c r="B111" s="80">
        <v>12.61</v>
      </c>
      <c r="C111" s="80" t="s">
        <v>493</v>
      </c>
      <c r="D111" s="80">
        <v>4.9200000000000001E-2</v>
      </c>
      <c r="E111" s="80" t="s">
        <v>493</v>
      </c>
    </row>
    <row r="112" spans="1:5" x14ac:dyDescent="0.2">
      <c r="A112" s="87" t="s">
        <v>560</v>
      </c>
      <c r="B112" s="80">
        <v>12.61</v>
      </c>
      <c r="C112" s="80" t="s">
        <v>493</v>
      </c>
      <c r="D112" s="80"/>
      <c r="E112" s="80"/>
    </row>
    <row r="113" spans="1:5" x14ac:dyDescent="0.2">
      <c r="A113" s="87" t="s">
        <v>561</v>
      </c>
      <c r="B113" s="80">
        <v>12.61</v>
      </c>
      <c r="C113" s="80" t="s">
        <v>493</v>
      </c>
      <c r="D113" s="80"/>
      <c r="E113" s="80"/>
    </row>
    <row r="114" spans="1:5" x14ac:dyDescent="0.2">
      <c r="A114" s="92" t="s">
        <v>988</v>
      </c>
      <c r="B114" s="80">
        <v>12.61</v>
      </c>
      <c r="C114" s="80" t="s">
        <v>493</v>
      </c>
      <c r="D114" s="80"/>
      <c r="E114" s="80"/>
    </row>
    <row r="115" spans="1:5" x14ac:dyDescent="0.2">
      <c r="A115" s="87" t="s">
        <v>562</v>
      </c>
      <c r="B115" s="80">
        <v>12.61</v>
      </c>
      <c r="C115" s="80" t="s">
        <v>493</v>
      </c>
      <c r="D115" s="80">
        <v>0.12280000000000001</v>
      </c>
      <c r="E115" s="80" t="s">
        <v>493</v>
      </c>
    </row>
    <row r="116" spans="1:5" x14ac:dyDescent="0.2">
      <c r="A116" s="87" t="s">
        <v>563</v>
      </c>
      <c r="B116" s="80">
        <v>12.61</v>
      </c>
      <c r="C116" s="80" t="s">
        <v>493</v>
      </c>
      <c r="D116" s="80"/>
      <c r="E116" s="80"/>
    </row>
    <row r="117" spans="1:5" x14ac:dyDescent="0.2">
      <c r="A117" s="87" t="s">
        <v>564</v>
      </c>
      <c r="B117" s="80">
        <v>12.61</v>
      </c>
      <c r="C117" s="80" t="s">
        <v>493</v>
      </c>
      <c r="D117" s="80"/>
      <c r="E117" s="80"/>
    </row>
    <row r="118" spans="1:5" x14ac:dyDescent="0.2">
      <c r="A118" s="92" t="s">
        <v>989</v>
      </c>
      <c r="B118" s="80">
        <v>12.61</v>
      </c>
      <c r="C118" s="80" t="s">
        <v>493</v>
      </c>
      <c r="D118" s="80"/>
      <c r="E118" s="80"/>
    </row>
    <row r="119" spans="1:5" x14ac:dyDescent="0.2">
      <c r="A119" s="87" t="s">
        <v>565</v>
      </c>
      <c r="B119" s="80">
        <v>12.61</v>
      </c>
      <c r="C119" s="80" t="s">
        <v>493</v>
      </c>
      <c r="D119" s="80"/>
      <c r="E119" s="80"/>
    </row>
    <row r="120" spans="1:5" x14ac:dyDescent="0.2">
      <c r="A120" s="87" t="s">
        <v>566</v>
      </c>
      <c r="B120" s="80">
        <v>12.61</v>
      </c>
      <c r="C120" s="80" t="s">
        <v>493</v>
      </c>
      <c r="D120" s="80"/>
      <c r="E120" s="80"/>
    </row>
    <row r="121" spans="1:5" x14ac:dyDescent="0.2">
      <c r="A121" s="80" t="s">
        <v>530</v>
      </c>
      <c r="B121" s="80">
        <v>12.61</v>
      </c>
      <c r="C121" s="80" t="s">
        <v>493</v>
      </c>
      <c r="D121" s="80"/>
      <c r="E121" s="80"/>
    </row>
    <row r="122" spans="1:5" x14ac:dyDescent="0.2">
      <c r="A122" s="80" t="s">
        <v>990</v>
      </c>
      <c r="B122" s="80">
        <v>12.61</v>
      </c>
      <c r="C122" s="80" t="s">
        <v>493</v>
      </c>
      <c r="D122" s="80"/>
      <c r="E122" s="80"/>
    </row>
    <row r="123" spans="1:5" x14ac:dyDescent="0.2">
      <c r="A123" s="80" t="s">
        <v>1054</v>
      </c>
      <c r="B123" s="80">
        <v>12.61</v>
      </c>
      <c r="C123" s="80" t="s">
        <v>493</v>
      </c>
      <c r="D123" s="80"/>
      <c r="E123" s="80"/>
    </row>
    <row r="124" spans="1:5" x14ac:dyDescent="0.2">
      <c r="A124" s="80" t="s">
        <v>531</v>
      </c>
      <c r="B124" s="80">
        <v>12.61</v>
      </c>
      <c r="C124" s="80" t="s">
        <v>493</v>
      </c>
      <c r="D124" s="80">
        <v>0.12280000000000001</v>
      </c>
      <c r="E124" s="80" t="s">
        <v>493</v>
      </c>
    </row>
    <row r="125" spans="1:5" x14ac:dyDescent="0.2">
      <c r="A125" s="80" t="s">
        <v>532</v>
      </c>
      <c r="B125" s="80">
        <v>12.61</v>
      </c>
      <c r="C125" s="80" t="s">
        <v>493</v>
      </c>
      <c r="D125" s="80"/>
      <c r="E125" s="80"/>
    </row>
    <row r="126" spans="1:5" x14ac:dyDescent="0.2">
      <c r="A126" s="87" t="s">
        <v>568</v>
      </c>
      <c r="B126" s="80">
        <v>12.61</v>
      </c>
      <c r="C126" s="80" t="s">
        <v>493</v>
      </c>
      <c r="D126" s="80"/>
      <c r="E126" s="80"/>
    </row>
    <row r="127" spans="1:5" x14ac:dyDescent="0.2">
      <c r="A127" s="92" t="s">
        <v>991</v>
      </c>
      <c r="B127" s="80">
        <v>12.61</v>
      </c>
      <c r="C127" s="80" t="s">
        <v>493</v>
      </c>
      <c r="D127" s="80"/>
      <c r="E127" s="80"/>
    </row>
    <row r="128" spans="1:5" x14ac:dyDescent="0.2">
      <c r="A128" s="87" t="s">
        <v>569</v>
      </c>
      <c r="B128" s="80">
        <v>12.61</v>
      </c>
      <c r="C128" s="80" t="s">
        <v>493</v>
      </c>
      <c r="D128" s="80">
        <v>0.12280000000000001</v>
      </c>
      <c r="E128" s="80" t="s">
        <v>493</v>
      </c>
    </row>
    <row r="129" spans="1:5" x14ac:dyDescent="0.2">
      <c r="A129" s="87" t="s">
        <v>570</v>
      </c>
      <c r="B129" s="80">
        <v>12.61</v>
      </c>
      <c r="C129" s="80" t="s">
        <v>493</v>
      </c>
      <c r="D129" s="80"/>
      <c r="E129" s="80"/>
    </row>
  </sheetData>
  <autoFilter ref="A1:E129"/>
  <pageMargins left="0.7" right="0.7" top="0.75" bottom="0.75" header="0.3" footer="0.3"/>
  <pageSetup orientation="portrait" verticalDpi="0" r:id="rId1"/>
  <headerFooter>
    <oddFooter>&amp;RPage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8" sqref="A8"/>
    </sheetView>
  </sheetViews>
  <sheetFormatPr defaultRowHeight="15" x14ac:dyDescent="0.2"/>
  <cols>
    <col min="1" max="1" width="17.77734375" bestFit="1" customWidth="1"/>
  </cols>
  <sheetData>
    <row r="1" spans="1:2" x14ac:dyDescent="0.2">
      <c r="A1" t="s">
        <v>495</v>
      </c>
      <c r="B1">
        <v>0.08</v>
      </c>
    </row>
    <row r="2" spans="1:2" x14ac:dyDescent="0.2">
      <c r="A2" t="s">
        <v>496</v>
      </c>
      <c r="B2">
        <v>0.2</v>
      </c>
    </row>
    <row r="3" spans="1:2" x14ac:dyDescent="0.2">
      <c r="A3" t="s">
        <v>497</v>
      </c>
      <c r="B3">
        <v>0.08</v>
      </c>
    </row>
    <row r="4" spans="1:2" x14ac:dyDescent="0.2">
      <c r="A4" t="s">
        <v>498</v>
      </c>
      <c r="B4">
        <v>0.08</v>
      </c>
    </row>
    <row r="5" spans="1:2" x14ac:dyDescent="0.2">
      <c r="A5" t="s">
        <v>889</v>
      </c>
      <c r="B5">
        <v>0.1</v>
      </c>
    </row>
    <row r="6" spans="1:2" x14ac:dyDescent="0.2">
      <c r="A6" t="s">
        <v>890</v>
      </c>
      <c r="B6">
        <v>0.08</v>
      </c>
    </row>
    <row r="7" spans="1:2" x14ac:dyDescent="0.2">
      <c r="A7" t="s">
        <v>891</v>
      </c>
      <c r="B7">
        <v>0.08</v>
      </c>
    </row>
    <row r="8" spans="1:2" x14ac:dyDescent="0.2">
      <c r="A8" t="s">
        <v>499</v>
      </c>
      <c r="B8">
        <v>0.08</v>
      </c>
    </row>
    <row r="9" spans="1:2" x14ac:dyDescent="0.2">
      <c r="A9" t="s">
        <v>868</v>
      </c>
      <c r="B9">
        <v>0</v>
      </c>
    </row>
    <row r="10" spans="1:2" x14ac:dyDescent="0.2">
      <c r="A10" t="s">
        <v>500</v>
      </c>
      <c r="B10">
        <v>50</v>
      </c>
    </row>
    <row r="11" spans="1:2" x14ac:dyDescent="0.2">
      <c r="A11" t="s">
        <v>501</v>
      </c>
      <c r="B11">
        <v>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election activeCell="A9" sqref="A9"/>
    </sheetView>
  </sheetViews>
  <sheetFormatPr defaultRowHeight="15" x14ac:dyDescent="0.2"/>
  <cols>
    <col min="1" max="1" width="11.77734375" bestFit="1" customWidth="1"/>
  </cols>
  <sheetData>
    <row r="1" spans="1:3" x14ac:dyDescent="0.2">
      <c r="A1" t="s">
        <v>502</v>
      </c>
    </row>
    <row r="2" spans="1:3" x14ac:dyDescent="0.2">
      <c r="A2" t="s">
        <v>545</v>
      </c>
    </row>
    <row r="3" spans="1:3" x14ac:dyDescent="0.2">
      <c r="A3" s="93" t="s">
        <v>89</v>
      </c>
    </row>
    <row r="4" spans="1:3" x14ac:dyDescent="0.2">
      <c r="A4" t="s">
        <v>546</v>
      </c>
    </row>
    <row r="5" spans="1:3" x14ac:dyDescent="0.2">
      <c r="A5" t="s">
        <v>504</v>
      </c>
      <c r="C5" t="s">
        <v>788</v>
      </c>
    </row>
    <row r="6" spans="1:3" x14ac:dyDescent="0.2">
      <c r="A6" t="s">
        <v>503</v>
      </c>
    </row>
    <row r="7" spans="1:3" x14ac:dyDescent="0.2">
      <c r="A7" t="s">
        <v>544</v>
      </c>
    </row>
    <row r="8" spans="1:3" x14ac:dyDescent="0.2">
      <c r="A8" t="s">
        <v>543</v>
      </c>
    </row>
    <row r="9" spans="1:3" x14ac:dyDescent="0.2">
      <c r="A9" t="s">
        <v>788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A22" sqref="A22"/>
    </sheetView>
  </sheetViews>
  <sheetFormatPr defaultRowHeight="15" x14ac:dyDescent="0.2"/>
  <sheetData/>
  <sheetProtection password="EF3C" sheet="1" selectLockedCells="1" selectUnlockedCells="1"/>
  <pageMargins left="0.7" right="0.7" top="0.75" bottom="0.75" header="0.3" footer="0.3"/>
  <pageSetup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9"/>
  <sheetViews>
    <sheetView showGridLines="0" topLeftCell="A4" zoomScale="85" zoomScaleNormal="85" workbookViewId="0">
      <selection activeCell="C7" sqref="C7:D7"/>
    </sheetView>
  </sheetViews>
  <sheetFormatPr defaultRowHeight="15" x14ac:dyDescent="0.25"/>
  <cols>
    <col min="1" max="1" width="8.88671875" style="118"/>
    <col min="2" max="2" width="2.77734375" style="118" customWidth="1"/>
    <col min="3" max="3" width="6" style="118" customWidth="1"/>
    <col min="4" max="4" width="29.109375" style="118" customWidth="1"/>
    <col min="5" max="5" width="3" style="118" customWidth="1"/>
    <col min="6" max="6" width="22.44140625" style="118" bestFit="1" customWidth="1"/>
    <col min="7" max="7" width="3.109375" style="118" customWidth="1"/>
    <col min="8" max="8" width="15.77734375" style="118" customWidth="1"/>
    <col min="9" max="10" width="8.88671875" style="118"/>
    <col min="11" max="18" width="9" style="118" customWidth="1"/>
    <col min="19" max="19" width="10.44140625" style="118" customWidth="1"/>
    <col min="20" max="16384" width="8.88671875" style="118"/>
  </cols>
  <sheetData>
    <row r="1" spans="2:19" x14ac:dyDescent="0.25">
      <c r="H1" s="119" t="s">
        <v>992</v>
      </c>
    </row>
    <row r="2" spans="2:19" x14ac:dyDescent="0.25">
      <c r="H2" s="120" t="s">
        <v>993</v>
      </c>
      <c r="K2" s="271" t="s">
        <v>994</v>
      </c>
      <c r="L2" s="271"/>
      <c r="M2" s="271"/>
      <c r="N2" s="271"/>
      <c r="O2" s="271"/>
      <c r="P2" s="271"/>
      <c r="Q2" s="271"/>
      <c r="R2" s="271"/>
      <c r="S2" s="271"/>
    </row>
    <row r="3" spans="2:19" ht="15.75" thickBot="1" x14ac:dyDescent="0.3">
      <c r="G3" s="121"/>
      <c r="H3" s="151" t="s">
        <v>1031</v>
      </c>
      <c r="K3" s="122"/>
      <c r="L3" s="123"/>
      <c r="M3" s="123"/>
      <c r="N3" s="123"/>
      <c r="O3" s="123"/>
      <c r="P3" s="123"/>
      <c r="Q3" s="123"/>
      <c r="R3" s="123"/>
      <c r="S3" s="123"/>
    </row>
    <row r="4" spans="2:19" ht="15.75" thickTop="1" x14ac:dyDescent="0.25">
      <c r="K4" s="272" t="s">
        <v>995</v>
      </c>
      <c r="L4" s="272"/>
      <c r="M4" s="272"/>
      <c r="N4" s="272"/>
      <c r="O4" s="272"/>
      <c r="P4" s="272"/>
      <c r="Q4" s="272"/>
      <c r="R4" s="272"/>
      <c r="S4" s="272"/>
    </row>
    <row r="5" spans="2:19" x14ac:dyDescent="0.25">
      <c r="B5" s="124">
        <v>1</v>
      </c>
      <c r="C5" s="125" t="s">
        <v>996</v>
      </c>
      <c r="D5" s="126"/>
      <c r="E5" s="127">
        <v>2</v>
      </c>
      <c r="F5" s="128" t="s">
        <v>997</v>
      </c>
      <c r="G5" s="128"/>
      <c r="H5" s="129"/>
      <c r="K5" s="273"/>
      <c r="L5" s="273"/>
      <c r="M5" s="273"/>
      <c r="N5" s="273"/>
      <c r="O5" s="273"/>
      <c r="P5" s="273"/>
      <c r="Q5" s="273"/>
      <c r="R5" s="273"/>
      <c r="S5" s="273"/>
    </row>
    <row r="6" spans="2:19" x14ac:dyDescent="0.25">
      <c r="B6" s="130"/>
      <c r="C6" s="274"/>
      <c r="D6" s="275"/>
      <c r="E6" s="131"/>
      <c r="F6" s="276"/>
      <c r="G6" s="276"/>
      <c r="H6" s="277"/>
      <c r="K6" s="273"/>
      <c r="L6" s="273"/>
      <c r="M6" s="273"/>
      <c r="N6" s="273"/>
      <c r="O6" s="273"/>
      <c r="P6" s="273"/>
      <c r="Q6" s="273"/>
      <c r="R6" s="273"/>
      <c r="S6" s="273"/>
    </row>
    <row r="7" spans="2:19" x14ac:dyDescent="0.25">
      <c r="B7" s="130"/>
      <c r="C7" s="274"/>
      <c r="D7" s="275"/>
      <c r="E7" s="131"/>
      <c r="F7" s="276"/>
      <c r="G7" s="276"/>
      <c r="H7" s="277"/>
      <c r="K7" s="273"/>
      <c r="L7" s="273"/>
      <c r="M7" s="273"/>
      <c r="N7" s="273"/>
      <c r="O7" s="273"/>
      <c r="P7" s="273"/>
      <c r="Q7" s="273"/>
      <c r="R7" s="273"/>
      <c r="S7" s="273"/>
    </row>
    <row r="8" spans="2:19" x14ac:dyDescent="0.25">
      <c r="B8" s="130"/>
      <c r="C8" s="274"/>
      <c r="D8" s="275"/>
      <c r="E8" s="131"/>
      <c r="F8" s="276"/>
      <c r="G8" s="276"/>
      <c r="H8" s="277"/>
    </row>
    <row r="9" spans="2:19" ht="15" customHeight="1" x14ac:dyDescent="0.25">
      <c r="B9" s="130"/>
      <c r="C9" s="274"/>
      <c r="D9" s="275"/>
      <c r="E9" s="131"/>
      <c r="F9" s="276"/>
      <c r="G9" s="276"/>
      <c r="H9" s="277"/>
      <c r="K9" s="132" t="s">
        <v>998</v>
      </c>
      <c r="L9" s="278" t="s">
        <v>999</v>
      </c>
      <c r="M9" s="278"/>
      <c r="N9" s="278"/>
      <c r="O9" s="278"/>
      <c r="P9" s="278"/>
      <c r="Q9" s="278"/>
      <c r="R9" s="278"/>
      <c r="S9" s="278"/>
    </row>
    <row r="10" spans="2:19" x14ac:dyDescent="0.25">
      <c r="B10" s="130"/>
      <c r="C10" s="133"/>
      <c r="D10" s="134" t="s">
        <v>1000</v>
      </c>
      <c r="E10" s="131"/>
      <c r="F10" s="276"/>
      <c r="G10" s="276"/>
      <c r="H10" s="277"/>
      <c r="L10" s="278"/>
      <c r="M10" s="278"/>
      <c r="N10" s="278"/>
      <c r="O10" s="278"/>
      <c r="P10" s="278"/>
      <c r="Q10" s="278"/>
      <c r="R10" s="278"/>
      <c r="S10" s="278"/>
    </row>
    <row r="11" spans="2:19" ht="17.25" customHeight="1" x14ac:dyDescent="0.25">
      <c r="B11" s="130"/>
      <c r="C11" s="133"/>
      <c r="D11" s="135"/>
      <c r="E11" s="131"/>
      <c r="F11" s="168" t="s">
        <v>1063</v>
      </c>
      <c r="G11" s="168" t="s">
        <v>1064</v>
      </c>
      <c r="H11" s="136"/>
      <c r="L11" s="278"/>
      <c r="M11" s="278"/>
      <c r="N11" s="278"/>
      <c r="O11" s="278"/>
      <c r="P11" s="278"/>
      <c r="Q11" s="278"/>
      <c r="R11" s="278"/>
      <c r="S11" s="278"/>
    </row>
    <row r="12" spans="2:19" ht="18.75" customHeight="1" x14ac:dyDescent="0.25">
      <c r="B12" s="137"/>
      <c r="C12" s="138"/>
      <c r="D12" s="139"/>
      <c r="E12" s="140"/>
      <c r="F12" s="141"/>
      <c r="G12" s="279"/>
      <c r="H12" s="280"/>
      <c r="L12" s="278"/>
      <c r="M12" s="278"/>
      <c r="N12" s="278"/>
      <c r="O12" s="278"/>
      <c r="P12" s="278"/>
      <c r="Q12" s="278"/>
      <c r="R12" s="278"/>
      <c r="S12" s="278"/>
    </row>
    <row r="13" spans="2:19" x14ac:dyDescent="0.25">
      <c r="B13" s="124">
        <v>3</v>
      </c>
      <c r="C13" s="125" t="s">
        <v>1001</v>
      </c>
      <c r="D13" s="126"/>
      <c r="E13" s="127">
        <v>4</v>
      </c>
      <c r="F13" s="142" t="s">
        <v>1002</v>
      </c>
      <c r="G13" s="142"/>
      <c r="H13" s="129"/>
      <c r="L13" s="278"/>
      <c r="M13" s="278"/>
      <c r="N13" s="278"/>
      <c r="O13" s="278"/>
      <c r="P13" s="278"/>
      <c r="Q13" s="278"/>
      <c r="R13" s="278"/>
      <c r="S13" s="278"/>
    </row>
    <row r="14" spans="2:19" x14ac:dyDescent="0.25">
      <c r="B14" s="130"/>
      <c r="C14" s="274"/>
      <c r="D14" s="275"/>
      <c r="E14" s="281"/>
      <c r="F14" s="276"/>
      <c r="G14" s="276"/>
      <c r="H14" s="277"/>
    </row>
    <row r="15" spans="2:19" ht="15" customHeight="1" x14ac:dyDescent="0.25">
      <c r="B15" s="130"/>
      <c r="C15" s="274"/>
      <c r="D15" s="275"/>
      <c r="E15" s="282" t="s">
        <v>174</v>
      </c>
      <c r="F15" s="283"/>
      <c r="G15" s="283"/>
      <c r="H15" s="284"/>
      <c r="K15" s="132" t="s">
        <v>1003</v>
      </c>
      <c r="L15" s="278" t="s">
        <v>1004</v>
      </c>
      <c r="M15" s="278"/>
      <c r="N15" s="278"/>
      <c r="O15" s="278"/>
      <c r="P15" s="278"/>
      <c r="Q15" s="278"/>
      <c r="R15" s="278"/>
      <c r="S15" s="278"/>
    </row>
    <row r="16" spans="2:19" x14ac:dyDescent="0.25">
      <c r="B16" s="130"/>
      <c r="C16" s="274"/>
      <c r="D16" s="275"/>
      <c r="E16" s="285" t="s">
        <v>1005</v>
      </c>
      <c r="F16" s="286"/>
      <c r="G16" s="286"/>
      <c r="H16" s="287"/>
      <c r="L16" s="278"/>
      <c r="M16" s="278"/>
      <c r="N16" s="278"/>
      <c r="O16" s="278"/>
      <c r="P16" s="278"/>
      <c r="Q16" s="278"/>
      <c r="R16" s="278"/>
      <c r="S16" s="278"/>
    </row>
    <row r="17" spans="2:19" x14ac:dyDescent="0.25">
      <c r="B17" s="130"/>
      <c r="C17" s="274"/>
      <c r="D17" s="275"/>
      <c r="E17" s="285" t="s">
        <v>1006</v>
      </c>
      <c r="F17" s="286"/>
      <c r="G17" s="286"/>
      <c r="H17" s="287"/>
      <c r="L17" s="278"/>
      <c r="M17" s="278"/>
      <c r="N17" s="278"/>
      <c r="O17" s="278"/>
      <c r="P17" s="278"/>
      <c r="Q17" s="278"/>
      <c r="R17" s="278"/>
      <c r="S17" s="278"/>
    </row>
    <row r="18" spans="2:19" x14ac:dyDescent="0.25">
      <c r="B18" s="130"/>
      <c r="C18" s="274"/>
      <c r="D18" s="275"/>
      <c r="E18" s="285" t="s">
        <v>525</v>
      </c>
      <c r="F18" s="286"/>
      <c r="G18" s="286"/>
      <c r="H18" s="287"/>
      <c r="L18" s="278"/>
      <c r="M18" s="278"/>
      <c r="N18" s="278"/>
      <c r="O18" s="278"/>
      <c r="P18" s="278"/>
      <c r="Q18" s="278"/>
      <c r="R18" s="278"/>
      <c r="S18" s="278"/>
    </row>
    <row r="19" spans="2:19" x14ac:dyDescent="0.25">
      <c r="B19" s="130"/>
      <c r="C19" s="274"/>
      <c r="D19" s="275"/>
      <c r="E19" s="281"/>
      <c r="F19" s="276"/>
      <c r="G19" s="276"/>
      <c r="H19" s="277"/>
      <c r="L19" s="278"/>
      <c r="M19" s="278"/>
      <c r="N19" s="278"/>
      <c r="O19" s="278"/>
      <c r="P19" s="278"/>
      <c r="Q19" s="278"/>
      <c r="R19" s="278"/>
      <c r="S19" s="278"/>
    </row>
    <row r="20" spans="2:19" ht="34.5" customHeight="1" x14ac:dyDescent="0.25">
      <c r="B20" s="137"/>
      <c r="C20" s="296"/>
      <c r="D20" s="297"/>
      <c r="E20" s="298"/>
      <c r="F20" s="279"/>
      <c r="G20" s="279"/>
      <c r="H20" s="280"/>
      <c r="L20" s="278"/>
      <c r="M20" s="278"/>
      <c r="N20" s="278"/>
      <c r="O20" s="278"/>
      <c r="P20" s="278"/>
      <c r="Q20" s="278"/>
      <c r="R20" s="278"/>
      <c r="S20" s="278"/>
    </row>
    <row r="22" spans="2:19" x14ac:dyDescent="0.25">
      <c r="B22" s="124">
        <v>5</v>
      </c>
      <c r="C22" s="125" t="s">
        <v>1007</v>
      </c>
      <c r="D22" s="126"/>
      <c r="E22" s="124">
        <v>6</v>
      </c>
      <c r="F22" s="143" t="s">
        <v>1008</v>
      </c>
      <c r="G22" s="124">
        <v>7</v>
      </c>
      <c r="H22" s="144" t="s">
        <v>1009</v>
      </c>
      <c r="K22" s="132" t="s">
        <v>1010</v>
      </c>
      <c r="L22" s="278" t="s">
        <v>1011</v>
      </c>
      <c r="M22" s="278"/>
      <c r="N22" s="278"/>
      <c r="O22" s="278"/>
      <c r="P22" s="278"/>
      <c r="Q22" s="278"/>
      <c r="R22" s="278"/>
      <c r="S22" s="278"/>
    </row>
    <row r="23" spans="2:19" x14ac:dyDescent="0.25">
      <c r="B23" s="288" t="s">
        <v>1012</v>
      </c>
      <c r="C23" s="289"/>
      <c r="D23" s="145" t="s">
        <v>1013</v>
      </c>
      <c r="E23" s="290"/>
      <c r="F23" s="291"/>
      <c r="G23" s="290"/>
      <c r="H23" s="291"/>
      <c r="L23" s="278"/>
      <c r="M23" s="278"/>
      <c r="N23" s="278"/>
      <c r="O23" s="278"/>
      <c r="P23" s="278"/>
      <c r="Q23" s="278"/>
      <c r="R23" s="278"/>
      <c r="S23" s="278"/>
    </row>
    <row r="24" spans="2:19" x14ac:dyDescent="0.25">
      <c r="B24" s="292"/>
      <c r="C24" s="293"/>
      <c r="D24" s="146"/>
      <c r="E24" s="294"/>
      <c r="F24" s="295"/>
      <c r="G24" s="294"/>
      <c r="H24" s="295"/>
      <c r="L24" s="278"/>
      <c r="M24" s="278"/>
      <c r="N24" s="278"/>
      <c r="O24" s="278"/>
      <c r="P24" s="278"/>
      <c r="Q24" s="278"/>
      <c r="R24" s="278"/>
      <c r="S24" s="278"/>
    </row>
    <row r="25" spans="2:19" x14ac:dyDescent="0.25">
      <c r="B25" s="292"/>
      <c r="C25" s="293"/>
      <c r="D25" s="146"/>
      <c r="E25" s="294"/>
      <c r="F25" s="295"/>
      <c r="G25" s="294"/>
      <c r="H25" s="295"/>
      <c r="L25" s="278"/>
      <c r="M25" s="278"/>
      <c r="N25" s="278"/>
      <c r="O25" s="278"/>
      <c r="P25" s="278"/>
      <c r="Q25" s="278"/>
      <c r="R25" s="278"/>
      <c r="S25" s="278"/>
    </row>
    <row r="26" spans="2:19" x14ac:dyDescent="0.25">
      <c r="B26" s="292"/>
      <c r="C26" s="293"/>
      <c r="D26" s="146"/>
      <c r="E26" s="294"/>
      <c r="F26" s="295"/>
      <c r="G26" s="294"/>
      <c r="H26" s="295"/>
    </row>
    <row r="27" spans="2:19" ht="15" customHeight="1" x14ac:dyDescent="0.25">
      <c r="B27" s="292"/>
      <c r="C27" s="293"/>
      <c r="D27" s="146"/>
      <c r="E27" s="294"/>
      <c r="F27" s="295"/>
      <c r="G27" s="294"/>
      <c r="H27" s="295"/>
      <c r="K27" s="132" t="s">
        <v>1014</v>
      </c>
      <c r="L27" s="278" t="s">
        <v>1015</v>
      </c>
      <c r="M27" s="278"/>
      <c r="N27" s="278"/>
      <c r="O27" s="278"/>
      <c r="P27" s="278"/>
      <c r="Q27" s="278"/>
      <c r="R27" s="278"/>
      <c r="S27" s="278"/>
    </row>
    <row r="28" spans="2:19" x14ac:dyDescent="0.25">
      <c r="B28" s="292"/>
      <c r="C28" s="293"/>
      <c r="D28" s="146"/>
      <c r="E28" s="294"/>
      <c r="F28" s="295"/>
      <c r="G28" s="294"/>
      <c r="H28" s="295"/>
    </row>
    <row r="29" spans="2:19" x14ac:dyDescent="0.25">
      <c r="B29" s="292"/>
      <c r="C29" s="293"/>
      <c r="D29" s="146"/>
      <c r="E29" s="294"/>
      <c r="F29" s="295"/>
      <c r="G29" s="294"/>
      <c r="H29" s="295"/>
      <c r="K29" s="132" t="s">
        <v>1016</v>
      </c>
      <c r="L29" s="278" t="s">
        <v>1017</v>
      </c>
      <c r="M29" s="278"/>
      <c r="N29" s="278"/>
      <c r="O29" s="278"/>
      <c r="P29" s="278"/>
      <c r="Q29" s="278"/>
      <c r="R29" s="278"/>
      <c r="S29" s="278"/>
    </row>
    <row r="30" spans="2:19" x14ac:dyDescent="0.25">
      <c r="B30" s="292"/>
      <c r="C30" s="293"/>
      <c r="D30" s="146"/>
      <c r="E30" s="294"/>
      <c r="F30" s="295"/>
      <c r="G30" s="294"/>
      <c r="H30" s="295"/>
    </row>
    <row r="31" spans="2:19" ht="15" customHeight="1" x14ac:dyDescent="0.25">
      <c r="B31" s="292"/>
      <c r="C31" s="293"/>
      <c r="D31" s="146"/>
      <c r="E31" s="294"/>
      <c r="F31" s="295"/>
      <c r="G31" s="294"/>
      <c r="H31" s="295"/>
      <c r="K31" s="132" t="s">
        <v>1018</v>
      </c>
      <c r="L31" s="278" t="s">
        <v>1019</v>
      </c>
      <c r="M31" s="278"/>
      <c r="N31" s="278"/>
      <c r="O31" s="278"/>
      <c r="P31" s="278"/>
      <c r="Q31" s="278"/>
      <c r="R31" s="278"/>
      <c r="S31" s="278"/>
    </row>
    <row r="32" spans="2:19" x14ac:dyDescent="0.25">
      <c r="B32" s="292"/>
      <c r="C32" s="293"/>
      <c r="D32" s="146"/>
      <c r="E32" s="294"/>
      <c r="F32" s="295"/>
      <c r="G32" s="294"/>
      <c r="H32" s="295"/>
      <c r="L32" s="299" t="s">
        <v>1020</v>
      </c>
      <c r="M32" s="300"/>
      <c r="N32" s="300"/>
      <c r="O32" s="300"/>
      <c r="P32" s="300"/>
      <c r="Q32" s="300"/>
      <c r="R32" s="300"/>
      <c r="S32" s="300"/>
    </row>
    <row r="33" spans="2:19" x14ac:dyDescent="0.25">
      <c r="B33" s="292"/>
      <c r="C33" s="293"/>
      <c r="D33" s="146"/>
      <c r="E33" s="294"/>
      <c r="F33" s="295"/>
      <c r="G33" s="294"/>
      <c r="H33" s="295"/>
      <c r="L33" s="147"/>
      <c r="M33" s="147"/>
      <c r="N33" s="147"/>
      <c r="O33" s="147"/>
      <c r="P33" s="147"/>
      <c r="Q33" s="147"/>
      <c r="R33" s="147"/>
      <c r="S33" s="147"/>
    </row>
    <row r="34" spans="2:19" x14ac:dyDescent="0.25">
      <c r="B34" s="292"/>
      <c r="C34" s="293"/>
      <c r="D34" s="146"/>
      <c r="E34" s="294"/>
      <c r="F34" s="295"/>
      <c r="G34" s="294"/>
      <c r="H34" s="295"/>
      <c r="K34" s="132" t="s">
        <v>1021</v>
      </c>
      <c r="L34" s="278" t="s">
        <v>1022</v>
      </c>
      <c r="M34" s="278"/>
      <c r="N34" s="278"/>
      <c r="O34" s="278"/>
      <c r="P34" s="278"/>
      <c r="Q34" s="278"/>
      <c r="R34" s="278"/>
      <c r="S34" s="278"/>
    </row>
    <row r="35" spans="2:19" x14ac:dyDescent="0.25">
      <c r="B35" s="292"/>
      <c r="C35" s="293"/>
      <c r="D35" s="146"/>
      <c r="E35" s="294"/>
      <c r="F35" s="295"/>
      <c r="G35" s="294"/>
      <c r="H35" s="295"/>
    </row>
    <row r="36" spans="2:19" x14ac:dyDescent="0.25">
      <c r="B36" s="292"/>
      <c r="C36" s="293"/>
      <c r="D36" s="146"/>
      <c r="E36" s="294"/>
      <c r="F36" s="295"/>
      <c r="G36" s="294"/>
      <c r="H36" s="295"/>
      <c r="K36" s="132" t="s">
        <v>1023</v>
      </c>
      <c r="L36" s="278" t="s">
        <v>1024</v>
      </c>
      <c r="M36" s="278"/>
      <c r="N36" s="278"/>
      <c r="O36" s="278"/>
      <c r="P36" s="278"/>
      <c r="Q36" s="278"/>
      <c r="R36" s="278"/>
      <c r="S36" s="278"/>
    </row>
    <row r="37" spans="2:19" x14ac:dyDescent="0.25">
      <c r="B37" s="292"/>
      <c r="C37" s="293"/>
      <c r="D37" s="146"/>
      <c r="E37" s="294"/>
      <c r="F37" s="295"/>
      <c r="G37" s="294"/>
      <c r="H37" s="295"/>
      <c r="L37" s="278"/>
      <c r="M37" s="278"/>
      <c r="N37" s="278"/>
      <c r="O37" s="278"/>
      <c r="P37" s="278"/>
      <c r="Q37" s="278"/>
      <c r="R37" s="278"/>
      <c r="S37" s="278"/>
    </row>
    <row r="38" spans="2:19" x14ac:dyDescent="0.25">
      <c r="B38" s="292"/>
      <c r="C38" s="293"/>
      <c r="D38" s="146"/>
      <c r="E38" s="294"/>
      <c r="F38" s="295"/>
      <c r="G38" s="294"/>
      <c r="H38" s="295"/>
      <c r="L38" s="278"/>
      <c r="M38" s="278"/>
      <c r="N38" s="278"/>
      <c r="O38" s="278"/>
      <c r="P38" s="278"/>
      <c r="Q38" s="278"/>
      <c r="R38" s="278"/>
      <c r="S38" s="278"/>
    </row>
    <row r="39" spans="2:19" x14ac:dyDescent="0.25">
      <c r="B39" s="292"/>
      <c r="C39" s="293"/>
      <c r="D39" s="146"/>
      <c r="E39" s="294"/>
      <c r="F39" s="295"/>
      <c r="G39" s="294"/>
      <c r="H39" s="295"/>
      <c r="L39" s="278"/>
      <c r="M39" s="278"/>
      <c r="N39" s="278"/>
      <c r="O39" s="278"/>
      <c r="P39" s="278"/>
      <c r="Q39" s="278"/>
      <c r="R39" s="278"/>
      <c r="S39" s="278"/>
    </row>
    <row r="40" spans="2:19" x14ac:dyDescent="0.25">
      <c r="B40" s="292"/>
      <c r="C40" s="293"/>
      <c r="D40" s="146"/>
      <c r="E40" s="294"/>
      <c r="F40" s="295"/>
      <c r="G40" s="294"/>
      <c r="H40" s="295"/>
    </row>
    <row r="41" spans="2:19" x14ac:dyDescent="0.25">
      <c r="B41" s="292"/>
      <c r="C41" s="293"/>
      <c r="D41" s="146"/>
      <c r="E41" s="294"/>
      <c r="F41" s="295"/>
      <c r="G41" s="294"/>
      <c r="H41" s="295"/>
    </row>
    <row r="43" spans="2:19" ht="30.75" customHeight="1" x14ac:dyDescent="0.25">
      <c r="B43" s="148">
        <v>8</v>
      </c>
      <c r="C43" s="302" t="s">
        <v>1025</v>
      </c>
      <c r="D43" s="302"/>
      <c r="E43" s="302"/>
      <c r="F43" s="302"/>
      <c r="G43" s="302"/>
      <c r="H43" s="303"/>
    </row>
    <row r="44" spans="2:19" x14ac:dyDescent="0.25">
      <c r="B44" s="149" t="s">
        <v>1026</v>
      </c>
      <c r="C44" s="150"/>
      <c r="D44" s="126"/>
      <c r="E44" s="149" t="s">
        <v>1027</v>
      </c>
      <c r="F44" s="150"/>
      <c r="G44" s="150"/>
      <c r="H44" s="126"/>
    </row>
    <row r="45" spans="2:19" x14ac:dyDescent="0.25">
      <c r="B45" s="301"/>
      <c r="C45" s="296"/>
      <c r="D45" s="297"/>
      <c r="E45" s="301"/>
      <c r="F45" s="296"/>
      <c r="G45" s="296"/>
      <c r="H45" s="297"/>
    </row>
    <row r="46" spans="2:19" x14ac:dyDescent="0.25">
      <c r="B46" s="149" t="s">
        <v>9</v>
      </c>
      <c r="C46" s="150"/>
      <c r="D46" s="126"/>
      <c r="E46" s="149" t="s">
        <v>1028</v>
      </c>
      <c r="F46" s="150"/>
      <c r="G46" s="150"/>
      <c r="H46" s="126"/>
    </row>
    <row r="47" spans="2:19" x14ac:dyDescent="0.25">
      <c r="B47" s="304"/>
      <c r="C47" s="305"/>
      <c r="D47" s="306"/>
      <c r="E47" s="301"/>
      <c r="F47" s="296"/>
      <c r="G47" s="296"/>
      <c r="H47" s="297"/>
    </row>
    <row r="48" spans="2:19" x14ac:dyDescent="0.25">
      <c r="B48" s="149" t="s">
        <v>1029</v>
      </c>
      <c r="C48" s="150"/>
      <c r="D48" s="126"/>
      <c r="E48" s="149" t="s">
        <v>1030</v>
      </c>
      <c r="F48" s="150"/>
      <c r="G48" s="149" t="s">
        <v>13</v>
      </c>
      <c r="H48" s="126"/>
    </row>
    <row r="49" spans="2:8" x14ac:dyDescent="0.25">
      <c r="B49" s="301"/>
      <c r="C49" s="296"/>
      <c r="D49" s="297"/>
      <c r="E49" s="301"/>
      <c r="F49" s="297"/>
      <c r="G49" s="301"/>
      <c r="H49" s="297"/>
    </row>
  </sheetData>
  <sheetProtection algorithmName="SHA-512" hashValue="a608N94tQl/14p1VU3sa6l0sBJPWWYfmK9Nwq2KgVifUrwKCeYgKA63XhYs16uVQ51eLRAkDoKZDg7aCAK29+A==" saltValue="1NuKQLUriIXYFULk69ozxA==" spinCount="100000" sheet="1" objects="1" scenarios="1" formatCells="0" selectLockedCells="1"/>
  <mergeCells count="100">
    <mergeCell ref="G39:H39"/>
    <mergeCell ref="B49:D49"/>
    <mergeCell ref="E49:F49"/>
    <mergeCell ref="G49:H49"/>
    <mergeCell ref="B40:C40"/>
    <mergeCell ref="E40:F40"/>
    <mergeCell ref="G40:H40"/>
    <mergeCell ref="B41:C41"/>
    <mergeCell ref="E41:F41"/>
    <mergeCell ref="G41:H41"/>
    <mergeCell ref="C43:H43"/>
    <mergeCell ref="B45:D45"/>
    <mergeCell ref="E45:H45"/>
    <mergeCell ref="B47:D47"/>
    <mergeCell ref="E47:H47"/>
    <mergeCell ref="L34:S34"/>
    <mergeCell ref="B35:C35"/>
    <mergeCell ref="E35:F35"/>
    <mergeCell ref="G35:H35"/>
    <mergeCell ref="B36:C36"/>
    <mergeCell ref="E36:F36"/>
    <mergeCell ref="G36:H36"/>
    <mergeCell ref="L36:S39"/>
    <mergeCell ref="B37:C37"/>
    <mergeCell ref="E37:F37"/>
    <mergeCell ref="G37:H37"/>
    <mergeCell ref="B38:C38"/>
    <mergeCell ref="E38:F38"/>
    <mergeCell ref="G38:H38"/>
    <mergeCell ref="B39:C39"/>
    <mergeCell ref="E39:F39"/>
    <mergeCell ref="B33:C33"/>
    <mergeCell ref="E33:F33"/>
    <mergeCell ref="G33:H33"/>
    <mergeCell ref="B34:C34"/>
    <mergeCell ref="E34:F34"/>
    <mergeCell ref="G34:H34"/>
    <mergeCell ref="B31:C31"/>
    <mergeCell ref="E31:F31"/>
    <mergeCell ref="G31:H31"/>
    <mergeCell ref="L31:S31"/>
    <mergeCell ref="B32:C32"/>
    <mergeCell ref="E32:F32"/>
    <mergeCell ref="G32:H32"/>
    <mergeCell ref="L32:S32"/>
    <mergeCell ref="B29:C29"/>
    <mergeCell ref="E29:F29"/>
    <mergeCell ref="G29:H29"/>
    <mergeCell ref="L29:S29"/>
    <mergeCell ref="B30:C30"/>
    <mergeCell ref="E30:F30"/>
    <mergeCell ref="G30:H30"/>
    <mergeCell ref="B27:C27"/>
    <mergeCell ref="E27:F27"/>
    <mergeCell ref="G27:H27"/>
    <mergeCell ref="L27:S27"/>
    <mergeCell ref="B28:C28"/>
    <mergeCell ref="E28:F28"/>
    <mergeCell ref="G28:H28"/>
    <mergeCell ref="B26:C26"/>
    <mergeCell ref="E26:F26"/>
    <mergeCell ref="G26:H26"/>
    <mergeCell ref="E18:H18"/>
    <mergeCell ref="C19:D19"/>
    <mergeCell ref="E19:H19"/>
    <mergeCell ref="C20:D20"/>
    <mergeCell ref="E20:H20"/>
    <mergeCell ref="E24:F24"/>
    <mergeCell ref="G24:H24"/>
    <mergeCell ref="B25:C25"/>
    <mergeCell ref="E25:F25"/>
    <mergeCell ref="G25:H25"/>
    <mergeCell ref="L22:S25"/>
    <mergeCell ref="B23:C23"/>
    <mergeCell ref="E23:F23"/>
    <mergeCell ref="G23:H23"/>
    <mergeCell ref="B24:C24"/>
    <mergeCell ref="C14:D14"/>
    <mergeCell ref="E14:H14"/>
    <mergeCell ref="C15:D15"/>
    <mergeCell ref="E15:H15"/>
    <mergeCell ref="L15:S20"/>
    <mergeCell ref="C16:D16"/>
    <mergeCell ref="E16:H16"/>
    <mergeCell ref="C17:D17"/>
    <mergeCell ref="E17:H17"/>
    <mergeCell ref="C18:D18"/>
    <mergeCell ref="C8:D8"/>
    <mergeCell ref="F8:H8"/>
    <mergeCell ref="C9:D9"/>
    <mergeCell ref="F9:H9"/>
    <mergeCell ref="L9:S13"/>
    <mergeCell ref="F10:H10"/>
    <mergeCell ref="G12:H12"/>
    <mergeCell ref="K2:S2"/>
    <mergeCell ref="K4:S7"/>
    <mergeCell ref="C6:D6"/>
    <mergeCell ref="F6:H6"/>
    <mergeCell ref="C7:D7"/>
    <mergeCell ref="F7:H7"/>
  </mergeCells>
  <hyperlinks>
    <hyperlink ref="L32" r:id="rId1"/>
  </hyperlinks>
  <pageMargins left="0.7" right="0.7" top="0.75" bottom="0.75" header="0.3" footer="0.3"/>
  <pageSetup scale="8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6" sqref="B6"/>
    </sheetView>
  </sheetViews>
  <sheetFormatPr defaultRowHeight="15" x14ac:dyDescent="0.2"/>
  <cols>
    <col min="1" max="1" width="16" bestFit="1" customWidth="1"/>
  </cols>
  <sheetData>
    <row r="1" spans="1:2" x14ac:dyDescent="0.2">
      <c r="A1" t="s">
        <v>396</v>
      </c>
      <c r="B1" s="53">
        <v>1</v>
      </c>
    </row>
    <row r="2" spans="1:2" x14ac:dyDescent="0.2">
      <c r="A2" t="s">
        <v>397</v>
      </c>
      <c r="B2" s="53">
        <v>1</v>
      </c>
    </row>
    <row r="3" spans="1:2" x14ac:dyDescent="0.2">
      <c r="A3" t="s">
        <v>398</v>
      </c>
      <c r="B3" s="53">
        <v>1.6</v>
      </c>
    </row>
    <row r="4" spans="1:2" x14ac:dyDescent="0.2">
      <c r="A4" t="s">
        <v>399</v>
      </c>
      <c r="B4" s="53">
        <v>1.85</v>
      </c>
    </row>
    <row r="5" spans="1:2" x14ac:dyDescent="0.2">
      <c r="A5" t="s">
        <v>400</v>
      </c>
      <c r="B5" s="53">
        <v>1.38</v>
      </c>
    </row>
    <row r="6" spans="1:2" x14ac:dyDescent="0.2">
      <c r="A6" t="s">
        <v>401</v>
      </c>
      <c r="B6" s="53">
        <v>0.95</v>
      </c>
    </row>
    <row r="7" spans="1:2" x14ac:dyDescent="0.2">
      <c r="A7" t="s">
        <v>402</v>
      </c>
      <c r="B7" s="53">
        <v>0.1</v>
      </c>
    </row>
    <row r="8" spans="1:2" x14ac:dyDescent="0.2">
      <c r="A8" t="s">
        <v>403</v>
      </c>
      <c r="B8" s="53">
        <v>0.93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16" workbookViewId="0">
      <selection activeCell="B41" sqref="B41"/>
    </sheetView>
  </sheetViews>
  <sheetFormatPr defaultRowHeight="15" x14ac:dyDescent="0.2"/>
  <cols>
    <col min="1" max="1" width="18.21875" bestFit="1" customWidth="1"/>
  </cols>
  <sheetData>
    <row r="1" spans="1:4" ht="16.5" x14ac:dyDescent="0.3">
      <c r="A1" s="54" t="s">
        <v>680</v>
      </c>
      <c r="B1" s="54">
        <v>0</v>
      </c>
      <c r="D1" t="s">
        <v>19</v>
      </c>
    </row>
    <row r="2" spans="1:4" ht="16.5" x14ac:dyDescent="0.3">
      <c r="A2" s="54" t="s">
        <v>838</v>
      </c>
      <c r="B2" s="54">
        <v>2.9700000000000001E-2</v>
      </c>
      <c r="D2" t="s">
        <v>19</v>
      </c>
    </row>
    <row r="3" spans="1:4" ht="16.5" x14ac:dyDescent="0.3">
      <c r="A3" s="54" t="s">
        <v>404</v>
      </c>
      <c r="B3" s="54">
        <f>VLOOKUP(A3,'[2]FREIGHT RATES'!$A:$B,2,FALSE)</f>
        <v>1.6087</v>
      </c>
      <c r="D3" t="s">
        <v>19</v>
      </c>
    </row>
    <row r="4" spans="1:4" ht="16.5" x14ac:dyDescent="0.3">
      <c r="A4" s="54" t="s">
        <v>405</v>
      </c>
      <c r="B4" s="54">
        <v>0.32040000000000002</v>
      </c>
      <c r="D4" t="s">
        <v>19</v>
      </c>
    </row>
    <row r="5" spans="1:4" ht="16.5" x14ac:dyDescent="0.3">
      <c r="A5" s="54" t="s">
        <v>406</v>
      </c>
      <c r="B5" s="54">
        <v>0.32719999999999999</v>
      </c>
      <c r="D5" t="s">
        <v>19</v>
      </c>
    </row>
    <row r="6" spans="1:4" ht="16.5" x14ac:dyDescent="0.3">
      <c r="A6" s="54" t="s">
        <v>407</v>
      </c>
      <c r="B6" s="54">
        <v>0.50649999999999995</v>
      </c>
      <c r="D6" t="s">
        <v>19</v>
      </c>
    </row>
    <row r="7" spans="1:4" ht="16.5" x14ac:dyDescent="0.3">
      <c r="A7" s="54" t="s">
        <v>408</v>
      </c>
      <c r="B7" s="54">
        <v>0.50649999999999995</v>
      </c>
      <c r="D7" t="s">
        <v>19</v>
      </c>
    </row>
    <row r="8" spans="1:4" ht="16.5" x14ac:dyDescent="0.3">
      <c r="A8" s="54" t="s">
        <v>409</v>
      </c>
      <c r="B8" s="54">
        <v>0.50649999999999995</v>
      </c>
      <c r="D8" t="s">
        <v>19</v>
      </c>
    </row>
    <row r="9" spans="1:4" ht="16.5" x14ac:dyDescent="0.3">
      <c r="A9" s="54" t="s">
        <v>410</v>
      </c>
      <c r="B9" s="54">
        <v>0.40539999999999998</v>
      </c>
      <c r="D9" t="s">
        <v>19</v>
      </c>
    </row>
    <row r="10" spans="1:4" ht="16.5" x14ac:dyDescent="0.3">
      <c r="A10" s="54" t="s">
        <v>411</v>
      </c>
      <c r="B10" s="54">
        <f>VLOOKUP(A10,'[2]FREIGHT RATES'!$A:$B,2,FALSE)</f>
        <v>1.44E-2</v>
      </c>
      <c r="D10" t="s">
        <v>19</v>
      </c>
    </row>
    <row r="11" spans="1:4" ht="16.5" x14ac:dyDescent="0.3">
      <c r="A11" s="54" t="s">
        <v>412</v>
      </c>
      <c r="B11" s="54">
        <v>1.0178</v>
      </c>
      <c r="D11" t="s">
        <v>19</v>
      </c>
    </row>
    <row r="12" spans="1:4" ht="16.5" x14ac:dyDescent="0.3">
      <c r="A12" s="54" t="s">
        <v>413</v>
      </c>
      <c r="B12" s="54">
        <v>1.0178</v>
      </c>
      <c r="D12" t="s">
        <v>19</v>
      </c>
    </row>
    <row r="13" spans="1:4" ht="16.5" x14ac:dyDescent="0.3">
      <c r="A13" s="54" t="s">
        <v>414</v>
      </c>
      <c r="B13" s="54">
        <v>0.96609999999999996</v>
      </c>
      <c r="C13" t="s">
        <v>510</v>
      </c>
      <c r="D13" t="s">
        <v>18</v>
      </c>
    </row>
    <row r="14" spans="1:4" ht="16.5" x14ac:dyDescent="0.3">
      <c r="A14" s="54" t="s">
        <v>415</v>
      </c>
      <c r="B14" s="54">
        <v>0.81210000000000004</v>
      </c>
      <c r="C14" t="s">
        <v>511</v>
      </c>
      <c r="D14" t="s">
        <v>18</v>
      </c>
    </row>
    <row r="15" spans="1:4" ht="16.5" x14ac:dyDescent="0.3">
      <c r="A15" s="54" t="s">
        <v>836</v>
      </c>
      <c r="B15" s="54">
        <v>0.99419999999999997</v>
      </c>
      <c r="C15" t="s">
        <v>964</v>
      </c>
      <c r="D15" t="s">
        <v>18</v>
      </c>
    </row>
    <row r="16" spans="1:4" ht="16.5" x14ac:dyDescent="0.3">
      <c r="A16" s="54" t="s">
        <v>417</v>
      </c>
      <c r="B16" s="54">
        <v>0.99419999999999997</v>
      </c>
      <c r="C16" t="s">
        <v>964</v>
      </c>
      <c r="D16" t="s">
        <v>18</v>
      </c>
    </row>
    <row r="17" spans="1:4" ht="16.5" x14ac:dyDescent="0.3">
      <c r="A17" s="54" t="s">
        <v>224</v>
      </c>
      <c r="B17" s="54">
        <v>0.86929999999999996</v>
      </c>
      <c r="C17" t="s">
        <v>964</v>
      </c>
      <c r="D17" t="s">
        <v>18</v>
      </c>
    </row>
    <row r="18" spans="1:4" ht="16.5" x14ac:dyDescent="0.3">
      <c r="A18" s="54" t="s">
        <v>418</v>
      </c>
      <c r="B18" s="54">
        <v>0.72360000000000002</v>
      </c>
      <c r="C18" t="s">
        <v>512</v>
      </c>
      <c r="D18" t="s">
        <v>18</v>
      </c>
    </row>
    <row r="19" spans="1:4" ht="16.5" x14ac:dyDescent="0.3">
      <c r="A19" s="54" t="s">
        <v>419</v>
      </c>
      <c r="B19" s="54">
        <v>3.1884000000000001</v>
      </c>
      <c r="C19" t="s">
        <v>964</v>
      </c>
      <c r="D19" t="s">
        <v>18</v>
      </c>
    </row>
    <row r="20" spans="1:4" ht="16.5" x14ac:dyDescent="0.3">
      <c r="A20" s="54" t="s">
        <v>420</v>
      </c>
      <c r="B20" s="54">
        <v>1.4976</v>
      </c>
      <c r="C20" t="s">
        <v>964</v>
      </c>
      <c r="D20" t="s">
        <v>18</v>
      </c>
    </row>
    <row r="21" spans="1:4" ht="16.5" x14ac:dyDescent="0.3">
      <c r="A21" s="54" t="s">
        <v>839</v>
      </c>
      <c r="B21" s="54">
        <v>0.99419999999999997</v>
      </c>
      <c r="C21" t="s">
        <v>964</v>
      </c>
      <c r="D21" t="s">
        <v>18</v>
      </c>
    </row>
    <row r="22" spans="1:4" ht="16.5" x14ac:dyDescent="0.3">
      <c r="A22" s="54" t="s">
        <v>422</v>
      </c>
      <c r="B22" s="54">
        <v>1.8244</v>
      </c>
      <c r="C22" t="s">
        <v>964</v>
      </c>
      <c r="D22" t="s">
        <v>18</v>
      </c>
    </row>
    <row r="23" spans="1:4" ht="16.5" x14ac:dyDescent="0.3">
      <c r="A23" s="54" t="s">
        <v>840</v>
      </c>
      <c r="B23" s="54">
        <v>0.99419999999999997</v>
      </c>
      <c r="C23" t="s">
        <v>510</v>
      </c>
      <c r="D23" t="s">
        <v>18</v>
      </c>
    </row>
    <row r="24" spans="1:4" ht="16.5" x14ac:dyDescent="0.3">
      <c r="A24" s="54" t="s">
        <v>841</v>
      </c>
      <c r="B24" s="54">
        <v>0.99419999999999997</v>
      </c>
      <c r="C24" t="s">
        <v>964</v>
      </c>
      <c r="D24" t="s">
        <v>18</v>
      </c>
    </row>
    <row r="25" spans="1:4" ht="16.5" x14ac:dyDescent="0.3">
      <c r="A25" s="54" t="s">
        <v>424</v>
      </c>
      <c r="B25" s="54">
        <v>0.87829999999999997</v>
      </c>
      <c r="C25" t="s">
        <v>964</v>
      </c>
      <c r="D25" t="s">
        <v>18</v>
      </c>
    </row>
    <row r="26" spans="1:4" ht="16.5" x14ac:dyDescent="0.3">
      <c r="A26" s="54" t="s">
        <v>425</v>
      </c>
      <c r="B26" s="54">
        <v>0.95599999999999996</v>
      </c>
      <c r="C26" t="s">
        <v>964</v>
      </c>
      <c r="D26" t="s">
        <v>18</v>
      </c>
    </row>
    <row r="27" spans="1:4" ht="16.5" x14ac:dyDescent="0.3">
      <c r="A27" s="54" t="s">
        <v>426</v>
      </c>
      <c r="B27" s="54">
        <v>1.0116000000000001</v>
      </c>
      <c r="C27" t="s">
        <v>510</v>
      </c>
      <c r="D27" t="s">
        <v>18</v>
      </c>
    </row>
    <row r="28" spans="1:4" ht="16.5" x14ac:dyDescent="0.3">
      <c r="A28" s="54" t="s">
        <v>427</v>
      </c>
      <c r="B28" s="54">
        <f>VLOOKUP(A28,'[2]FREIGHT RATES'!$A:$B,2,FALSE)</f>
        <v>0</v>
      </c>
      <c r="D28" t="s">
        <v>19</v>
      </c>
    </row>
    <row r="29" spans="1:4" ht="16.5" x14ac:dyDescent="0.3">
      <c r="A29" s="54" t="s">
        <v>428</v>
      </c>
      <c r="B29" s="54">
        <v>0.88770000000000004</v>
      </c>
      <c r="C29" t="s">
        <v>510</v>
      </c>
      <c r="D29" t="s">
        <v>18</v>
      </c>
    </row>
    <row r="30" spans="1:4" ht="16.5" x14ac:dyDescent="0.3">
      <c r="A30" s="54" t="s">
        <v>429</v>
      </c>
      <c r="B30" s="54">
        <v>1.3297000000000001</v>
      </c>
      <c r="C30" t="s">
        <v>964</v>
      </c>
      <c r="D30" t="s">
        <v>18</v>
      </c>
    </row>
    <row r="31" spans="1:4" ht="16.5" x14ac:dyDescent="0.3">
      <c r="A31" s="54" t="s">
        <v>430</v>
      </c>
      <c r="B31" s="54">
        <v>0.89029999999999998</v>
      </c>
      <c r="C31" t="s">
        <v>510</v>
      </c>
      <c r="D31" t="s">
        <v>18</v>
      </c>
    </row>
    <row r="32" spans="1:4" ht="16.5" x14ac:dyDescent="0.3">
      <c r="A32" s="54" t="s">
        <v>431</v>
      </c>
      <c r="B32" s="54">
        <v>0.97389999999999999</v>
      </c>
      <c r="C32" t="s">
        <v>964</v>
      </c>
      <c r="D32" t="s">
        <v>18</v>
      </c>
    </row>
    <row r="33" spans="1:4" ht="16.5" x14ac:dyDescent="0.3">
      <c r="A33" s="54" t="s">
        <v>432</v>
      </c>
      <c r="B33" s="54">
        <f>VLOOKUP(A33,'[2]FREIGHT RATES'!$A:$B,2,FALSE)</f>
        <v>0</v>
      </c>
      <c r="C33" t="s">
        <v>964</v>
      </c>
      <c r="D33" t="s">
        <v>18</v>
      </c>
    </row>
    <row r="34" spans="1:4" ht="16.5" x14ac:dyDescent="0.3">
      <c r="A34" s="54" t="s">
        <v>433</v>
      </c>
      <c r="B34" s="54">
        <v>0.82430000000000003</v>
      </c>
      <c r="C34" t="s">
        <v>964</v>
      </c>
      <c r="D34" t="s">
        <v>18</v>
      </c>
    </row>
    <row r="35" spans="1:4" ht="16.5" x14ac:dyDescent="0.3">
      <c r="A35" s="54" t="s">
        <v>435</v>
      </c>
      <c r="B35" s="54">
        <v>0.54310000000000003</v>
      </c>
      <c r="C35" t="s">
        <v>964</v>
      </c>
      <c r="D35" t="s">
        <v>18</v>
      </c>
    </row>
    <row r="36" spans="1:4" ht="16.5" x14ac:dyDescent="0.3">
      <c r="A36" s="54" t="s">
        <v>436</v>
      </c>
      <c r="B36" s="54">
        <v>1.387</v>
      </c>
      <c r="C36" t="s">
        <v>513</v>
      </c>
      <c r="D36" t="s">
        <v>18</v>
      </c>
    </row>
    <row r="37" spans="1:4" ht="16.5" x14ac:dyDescent="0.3">
      <c r="A37" s="54" t="s">
        <v>437</v>
      </c>
      <c r="B37" s="54">
        <v>1.4661999999999999</v>
      </c>
      <c r="C37" t="s">
        <v>513</v>
      </c>
      <c r="D37" t="s">
        <v>18</v>
      </c>
    </row>
    <row r="38" spans="1:4" ht="16.5" x14ac:dyDescent="0.3">
      <c r="A38" s="54" t="s">
        <v>438</v>
      </c>
      <c r="B38" s="54">
        <v>0.89880000000000004</v>
      </c>
      <c r="C38" t="s">
        <v>513</v>
      </c>
      <c r="D38" t="s">
        <v>18</v>
      </c>
    </row>
    <row r="39" spans="1:4" ht="16.5" x14ac:dyDescent="0.3">
      <c r="A39" s="54" t="s">
        <v>439</v>
      </c>
      <c r="B39" s="54">
        <v>1.1999</v>
      </c>
      <c r="C39" t="s">
        <v>513</v>
      </c>
      <c r="D39" t="s">
        <v>18</v>
      </c>
    </row>
    <row r="40" spans="1:4" ht="16.5" x14ac:dyDescent="0.3">
      <c r="A40" s="54" t="s">
        <v>1055</v>
      </c>
      <c r="B40" s="54">
        <v>0.87480000000000002</v>
      </c>
      <c r="C40" t="s">
        <v>513</v>
      </c>
      <c r="D40" t="s">
        <v>18</v>
      </c>
    </row>
    <row r="41" spans="1:4" ht="16.5" x14ac:dyDescent="0.3">
      <c r="A41" s="54" t="s">
        <v>440</v>
      </c>
      <c r="B41" s="54">
        <v>1.0450999999999999</v>
      </c>
      <c r="C41" t="s">
        <v>513</v>
      </c>
      <c r="D41" t="s">
        <v>18</v>
      </c>
    </row>
    <row r="42" spans="1:4" ht="16.5" x14ac:dyDescent="0.3">
      <c r="A42" s="54" t="s">
        <v>441</v>
      </c>
      <c r="B42" s="54">
        <v>0.86140000000000005</v>
      </c>
      <c r="C42" t="s">
        <v>513</v>
      </c>
      <c r="D42" t="s">
        <v>18</v>
      </c>
    </row>
    <row r="43" spans="1:4" ht="16.5" x14ac:dyDescent="0.3">
      <c r="A43" s="54" t="s">
        <v>442</v>
      </c>
      <c r="B43" s="54">
        <v>1.5551999999999999</v>
      </c>
      <c r="C43" t="s">
        <v>513</v>
      </c>
      <c r="D43" t="s">
        <v>18</v>
      </c>
    </row>
    <row r="44" spans="1:4" ht="16.5" x14ac:dyDescent="0.3">
      <c r="A44" s="54" t="s">
        <v>443</v>
      </c>
      <c r="B44" s="54">
        <v>0.93420000000000003</v>
      </c>
      <c r="C44" t="s">
        <v>513</v>
      </c>
      <c r="D44" t="s">
        <v>18</v>
      </c>
    </row>
    <row r="45" spans="1:4" ht="16.5" x14ac:dyDescent="0.3">
      <c r="A45" s="54" t="s">
        <v>444</v>
      </c>
      <c r="B45" s="54">
        <v>0.67689999999999995</v>
      </c>
      <c r="C45" t="s">
        <v>513</v>
      </c>
      <c r="D45" t="s">
        <v>18</v>
      </c>
    </row>
    <row r="46" spans="1:4" ht="16.5" x14ac:dyDescent="0.3">
      <c r="A46" s="54" t="s">
        <v>681</v>
      </c>
      <c r="B46" s="54">
        <v>1.3153999999999999</v>
      </c>
      <c r="C46" t="s">
        <v>513</v>
      </c>
      <c r="D46" t="s">
        <v>18</v>
      </c>
    </row>
    <row r="47" spans="1:4" ht="16.5" x14ac:dyDescent="0.3">
      <c r="A47" s="54" t="s">
        <v>445</v>
      </c>
      <c r="B47" s="54">
        <v>1.1870000000000001</v>
      </c>
      <c r="C47" t="s">
        <v>513</v>
      </c>
      <c r="D47" t="s">
        <v>18</v>
      </c>
    </row>
    <row r="48" spans="1:4" ht="16.5" x14ac:dyDescent="0.3">
      <c r="A48" s="54" t="s">
        <v>1034</v>
      </c>
      <c r="B48" s="54">
        <f>VLOOKUP(A48,'[2]FREIGHT RATES'!$A:$B,2,FALSE)</f>
        <v>9.6199999999999992</v>
      </c>
      <c r="C48" t="s">
        <v>513</v>
      </c>
      <c r="D48" t="s">
        <v>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opLeftCell="A16" workbookViewId="0">
      <selection activeCell="B24" sqref="B24"/>
    </sheetView>
  </sheetViews>
  <sheetFormatPr defaultRowHeight="15" x14ac:dyDescent="0.2"/>
  <cols>
    <col min="1" max="1" width="18.21875" bestFit="1" customWidth="1"/>
  </cols>
  <sheetData>
    <row r="1" spans="1:2" ht="16.5" x14ac:dyDescent="0.3">
      <c r="A1" s="54" t="s">
        <v>528</v>
      </c>
      <c r="B1" t="s">
        <v>509</v>
      </c>
    </row>
    <row r="2" spans="1:2" ht="16.5" x14ac:dyDescent="0.3">
      <c r="A2" s="54" t="s">
        <v>525</v>
      </c>
      <c r="B2" t="s">
        <v>526</v>
      </c>
    </row>
    <row r="3" spans="1:2" ht="16.5" x14ac:dyDescent="0.3">
      <c r="A3" s="54" t="s">
        <v>414</v>
      </c>
      <c r="B3" t="s">
        <v>510</v>
      </c>
    </row>
    <row r="4" spans="1:2" ht="16.5" x14ac:dyDescent="0.3">
      <c r="A4" s="54" t="s">
        <v>415</v>
      </c>
      <c r="B4" t="s">
        <v>1039</v>
      </c>
    </row>
    <row r="5" spans="1:2" ht="16.5" x14ac:dyDescent="0.3">
      <c r="A5" s="54" t="s">
        <v>416</v>
      </c>
      <c r="B5" t="s">
        <v>964</v>
      </c>
    </row>
    <row r="6" spans="1:2" ht="16.5" x14ac:dyDescent="0.3">
      <c r="A6" s="54" t="s">
        <v>417</v>
      </c>
      <c r="B6" t="s">
        <v>964</v>
      </c>
    </row>
    <row r="7" spans="1:2" ht="16.5" x14ac:dyDescent="0.3">
      <c r="A7" s="54" t="s">
        <v>854</v>
      </c>
      <c r="B7" t="s">
        <v>510</v>
      </c>
    </row>
    <row r="8" spans="1:2" ht="16.5" x14ac:dyDescent="0.3">
      <c r="A8" s="54" t="s">
        <v>224</v>
      </c>
      <c r="B8" t="s">
        <v>964</v>
      </c>
    </row>
    <row r="9" spans="1:2" ht="16.5" x14ac:dyDescent="0.3">
      <c r="A9" s="54" t="s">
        <v>418</v>
      </c>
      <c r="B9" t="s">
        <v>512</v>
      </c>
    </row>
    <row r="10" spans="1:2" ht="16.5" x14ac:dyDescent="0.3">
      <c r="A10" s="54" t="s">
        <v>813</v>
      </c>
      <c r="B10" t="s">
        <v>964</v>
      </c>
    </row>
    <row r="11" spans="1:2" ht="16.5" x14ac:dyDescent="0.3">
      <c r="A11" s="54" t="s">
        <v>419</v>
      </c>
      <c r="B11" t="s">
        <v>964</v>
      </c>
    </row>
    <row r="12" spans="1:2" ht="16.5" x14ac:dyDescent="0.3">
      <c r="A12" s="54" t="s">
        <v>420</v>
      </c>
      <c r="B12" t="s">
        <v>964</v>
      </c>
    </row>
    <row r="13" spans="1:2" ht="16.5" x14ac:dyDescent="0.3">
      <c r="A13" s="54" t="s">
        <v>421</v>
      </c>
      <c r="B13" t="s">
        <v>964</v>
      </c>
    </row>
    <row r="14" spans="1:2" ht="16.5" x14ac:dyDescent="0.3">
      <c r="A14" s="54" t="s">
        <v>422</v>
      </c>
      <c r="B14" t="s">
        <v>964</v>
      </c>
    </row>
    <row r="15" spans="1:2" ht="16.5" x14ac:dyDescent="0.3">
      <c r="A15" s="54" t="s">
        <v>423</v>
      </c>
      <c r="B15" t="s">
        <v>964</v>
      </c>
    </row>
    <row r="16" spans="1:2" ht="16.5" x14ac:dyDescent="0.3">
      <c r="A16" s="54" t="s">
        <v>308</v>
      </c>
      <c r="B16" t="s">
        <v>964</v>
      </c>
    </row>
    <row r="17" spans="1:2" ht="16.5" x14ac:dyDescent="0.3">
      <c r="A17" s="54" t="s">
        <v>424</v>
      </c>
      <c r="B17" t="s">
        <v>964</v>
      </c>
    </row>
    <row r="18" spans="1:2" ht="16.5" x14ac:dyDescent="0.3">
      <c r="A18" s="54" t="s">
        <v>425</v>
      </c>
      <c r="B18" t="s">
        <v>964</v>
      </c>
    </row>
    <row r="19" spans="1:2" ht="16.5" x14ac:dyDescent="0.3">
      <c r="A19" s="54" t="s">
        <v>426</v>
      </c>
      <c r="B19" t="s">
        <v>510</v>
      </c>
    </row>
    <row r="20" spans="1:2" ht="16.5" x14ac:dyDescent="0.3">
      <c r="A20" s="54" t="s">
        <v>866</v>
      </c>
      <c r="B20" t="s">
        <v>510</v>
      </c>
    </row>
    <row r="21" spans="1:2" ht="16.5" x14ac:dyDescent="0.3">
      <c r="A21" s="54" t="s">
        <v>318</v>
      </c>
      <c r="B21" t="s">
        <v>513</v>
      </c>
    </row>
    <row r="22" spans="1:2" ht="16.5" x14ac:dyDescent="0.3">
      <c r="A22" s="54" t="s">
        <v>428</v>
      </c>
      <c r="B22" t="s">
        <v>1039</v>
      </c>
    </row>
    <row r="23" spans="1:2" ht="16.5" x14ac:dyDescent="0.3">
      <c r="A23" s="54" t="s">
        <v>1065</v>
      </c>
      <c r="B23" t="s">
        <v>510</v>
      </c>
    </row>
    <row r="24" spans="1:2" ht="16.5" x14ac:dyDescent="0.3">
      <c r="A24" s="54" t="s">
        <v>837</v>
      </c>
      <c r="B24" t="s">
        <v>964</v>
      </c>
    </row>
    <row r="25" spans="1:2" ht="16.5" x14ac:dyDescent="0.3">
      <c r="A25" s="54" t="s">
        <v>429</v>
      </c>
      <c r="B25" t="s">
        <v>964</v>
      </c>
    </row>
    <row r="26" spans="1:2" ht="16.5" x14ac:dyDescent="0.3">
      <c r="A26" s="54" t="s">
        <v>430</v>
      </c>
      <c r="B26" t="s">
        <v>510</v>
      </c>
    </row>
    <row r="27" spans="1:2" ht="16.5" x14ac:dyDescent="0.3">
      <c r="A27" s="54" t="s">
        <v>431</v>
      </c>
      <c r="B27" t="s">
        <v>964</v>
      </c>
    </row>
    <row r="28" spans="1:2" ht="16.5" x14ac:dyDescent="0.3">
      <c r="A28" s="54" t="s">
        <v>432</v>
      </c>
      <c r="B28" t="s">
        <v>964</v>
      </c>
    </row>
    <row r="29" spans="1:2" ht="16.5" x14ac:dyDescent="0.3">
      <c r="A29" s="54" t="s">
        <v>433</v>
      </c>
      <c r="B29" t="s">
        <v>964</v>
      </c>
    </row>
    <row r="30" spans="1:2" ht="16.5" x14ac:dyDescent="0.3">
      <c r="A30" s="54" t="s">
        <v>751</v>
      </c>
      <c r="B30" t="s">
        <v>964</v>
      </c>
    </row>
    <row r="31" spans="1:2" ht="16.5" x14ac:dyDescent="0.3">
      <c r="A31" s="54" t="s">
        <v>434</v>
      </c>
      <c r="B31" t="s">
        <v>510</v>
      </c>
    </row>
    <row r="32" spans="1:2" ht="16.5" x14ac:dyDescent="0.3">
      <c r="A32" s="54" t="s">
        <v>435</v>
      </c>
      <c r="B32" t="s">
        <v>964</v>
      </c>
    </row>
    <row r="33" spans="1:2" ht="16.5" x14ac:dyDescent="0.3">
      <c r="A33" s="54" t="s">
        <v>527</v>
      </c>
      <c r="B33" t="s">
        <v>513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5" sqref="A5"/>
    </sheetView>
  </sheetViews>
  <sheetFormatPr defaultRowHeight="15" x14ac:dyDescent="0.2"/>
  <cols>
    <col min="1" max="1" width="19" bestFit="1" customWidth="1"/>
  </cols>
  <sheetData>
    <row r="1" spans="1:1" x14ac:dyDescent="0.2">
      <c r="A1" t="s">
        <v>446</v>
      </c>
    </row>
    <row r="2" spans="1:1" x14ac:dyDescent="0.2">
      <c r="A2" s="85" t="s">
        <v>549</v>
      </c>
    </row>
    <row r="3" spans="1:1" x14ac:dyDescent="0.2">
      <c r="A3" t="s">
        <v>447</v>
      </c>
    </row>
    <row r="4" spans="1:1" x14ac:dyDescent="0.2">
      <c r="A4" t="s">
        <v>743</v>
      </c>
    </row>
    <row r="5" spans="1:1" x14ac:dyDescent="0.2">
      <c r="A5" s="93" t="s">
        <v>735</v>
      </c>
    </row>
    <row r="6" spans="1:1" x14ac:dyDescent="0.2">
      <c r="A6" t="s">
        <v>448</v>
      </c>
    </row>
    <row r="7" spans="1:1" x14ac:dyDescent="0.2">
      <c r="A7" s="85" t="s">
        <v>550</v>
      </c>
    </row>
    <row r="8" spans="1:1" x14ac:dyDescent="0.2">
      <c r="A8"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A27" sqref="A27"/>
    </sheetView>
  </sheetViews>
  <sheetFormatPr defaultRowHeight="15" x14ac:dyDescent="0.2"/>
  <cols>
    <col min="1" max="1" width="19" bestFit="1" customWidth="1"/>
  </cols>
  <sheetData>
    <row r="1" spans="1:1" x14ac:dyDescent="0.2">
      <c r="A1" t="s">
        <v>446</v>
      </c>
    </row>
    <row r="2" spans="1:1" x14ac:dyDescent="0.2">
      <c r="A2" s="85" t="s">
        <v>114</v>
      </c>
    </row>
    <row r="3" spans="1:1" x14ac:dyDescent="0.2">
      <c r="A3" t="s">
        <v>534</v>
      </c>
    </row>
    <row r="4" spans="1:1" x14ac:dyDescent="0.2">
      <c r="A4" t="s">
        <v>535</v>
      </c>
    </row>
    <row r="5" spans="1:1" x14ac:dyDescent="0.2">
      <c r="A5" t="s">
        <v>536</v>
      </c>
    </row>
    <row r="6" spans="1:1" x14ac:dyDescent="0.2">
      <c r="A6" t="s">
        <v>537</v>
      </c>
    </row>
    <row r="7" spans="1:1" x14ac:dyDescent="0.2">
      <c r="A7" t="s">
        <v>538</v>
      </c>
    </row>
    <row r="8" spans="1:1" x14ac:dyDescent="0.2">
      <c r="A8" t="s">
        <v>117</v>
      </c>
    </row>
    <row r="9" spans="1:1" x14ac:dyDescent="0.2">
      <c r="A9" s="88" t="s">
        <v>567</v>
      </c>
    </row>
    <row r="10" spans="1:1" x14ac:dyDescent="0.2">
      <c r="A10" s="85" t="s">
        <v>595</v>
      </c>
    </row>
    <row r="11" spans="1:1" x14ac:dyDescent="0.2">
      <c r="A11" s="85" t="s">
        <v>596</v>
      </c>
    </row>
    <row r="12" spans="1:1" x14ac:dyDescent="0.2">
      <c r="A12" t="s">
        <v>539</v>
      </c>
    </row>
    <row r="13" spans="1:1" x14ac:dyDescent="0.2">
      <c r="A13" t="s">
        <v>540</v>
      </c>
    </row>
    <row r="14" spans="1:1" x14ac:dyDescent="0.2">
      <c r="A14" s="93" t="s">
        <v>735</v>
      </c>
    </row>
    <row r="15" spans="1:1" x14ac:dyDescent="0.2">
      <c r="A15" t="s">
        <v>541</v>
      </c>
    </row>
    <row r="16" spans="1:1" x14ac:dyDescent="0.2">
      <c r="A16" s="88" t="s">
        <v>578</v>
      </c>
    </row>
    <row r="17" spans="1:3" x14ac:dyDescent="0.2">
      <c r="A17" s="89" t="s">
        <v>591</v>
      </c>
    </row>
    <row r="18" spans="1:3" x14ac:dyDescent="0.2">
      <c r="A18" t="s">
        <v>448</v>
      </c>
    </row>
    <row r="19" spans="1:3" x14ac:dyDescent="0.2">
      <c r="A19" t="s">
        <v>962</v>
      </c>
    </row>
    <row r="20" spans="1:3" x14ac:dyDescent="0.2">
      <c r="A20" s="64" t="s">
        <v>944</v>
      </c>
    </row>
    <row r="21" spans="1:3" x14ac:dyDescent="0.2">
      <c r="A21" s="64" t="s">
        <v>945</v>
      </c>
      <c r="C21" s="64"/>
    </row>
    <row r="22" spans="1:3" x14ac:dyDescent="0.2">
      <c r="A22" s="64" t="s">
        <v>683</v>
      </c>
    </row>
    <row r="23" spans="1:3" x14ac:dyDescent="0.2">
      <c r="A23" s="64" t="s">
        <v>684</v>
      </c>
    </row>
    <row r="24" spans="1:3" x14ac:dyDescent="0.2">
      <c r="A24" t="s">
        <v>128</v>
      </c>
    </row>
    <row r="25" spans="1:3" x14ac:dyDescent="0.2">
      <c r="A25" t="s">
        <v>542</v>
      </c>
    </row>
    <row r="26" spans="1:3" x14ac:dyDescent="0.2">
      <c r="A26" s="85" t="s">
        <v>574</v>
      </c>
    </row>
    <row r="27" spans="1:3" x14ac:dyDescent="0.2">
      <c r="A27" s="85" t="s">
        <v>575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08"/>
  <sheetViews>
    <sheetView topLeftCell="A89" workbookViewId="0">
      <selection activeCell="E108" sqref="E108"/>
    </sheetView>
  </sheetViews>
  <sheetFormatPr defaultRowHeight="15" x14ac:dyDescent="0.2"/>
  <cols>
    <col min="1" max="1" width="59.88671875" bestFit="1" customWidth="1"/>
    <col min="14" max="14" width="11" bestFit="1" customWidth="1"/>
  </cols>
  <sheetData>
    <row r="1" spans="1:14" ht="60" x14ac:dyDescent="0.2">
      <c r="A1" s="55" t="s">
        <v>449</v>
      </c>
      <c r="B1" s="56" t="s">
        <v>450</v>
      </c>
      <c r="C1" s="57" t="s">
        <v>451</v>
      </c>
      <c r="D1" s="58" t="s">
        <v>452</v>
      </c>
      <c r="E1" s="59" t="s">
        <v>453</v>
      </c>
      <c r="F1" s="59" t="s">
        <v>454</v>
      </c>
      <c r="G1" s="60" t="s">
        <v>455</v>
      </c>
      <c r="H1" s="113" t="s">
        <v>456</v>
      </c>
      <c r="I1" s="114"/>
      <c r="J1" s="114"/>
      <c r="K1" s="114"/>
      <c r="L1" s="47"/>
      <c r="M1" s="47"/>
    </row>
    <row r="2" spans="1:14" x14ac:dyDescent="0.2">
      <c r="A2" s="90" t="s">
        <v>624</v>
      </c>
      <c r="B2" s="62">
        <f t="shared" ref="B2:B13" si="0">ROUND(+($B$14/750)*N2*E2,2)</f>
        <v>1.28</v>
      </c>
      <c r="C2" s="63">
        <v>1</v>
      </c>
      <c r="D2" s="62"/>
      <c r="E2" s="61">
        <v>100</v>
      </c>
      <c r="F2" s="61"/>
      <c r="G2" s="64"/>
      <c r="H2" s="65"/>
      <c r="I2" s="47"/>
      <c r="J2" s="47"/>
      <c r="K2" s="47"/>
      <c r="L2" s="47"/>
      <c r="M2" s="47"/>
      <c r="N2" s="84">
        <v>1.25</v>
      </c>
    </row>
    <row r="3" spans="1:14" x14ac:dyDescent="0.2">
      <c r="A3" s="90" t="s">
        <v>625</v>
      </c>
      <c r="B3" s="62">
        <f t="shared" si="0"/>
        <v>1.54</v>
      </c>
      <c r="C3" s="63">
        <v>1</v>
      </c>
      <c r="D3" s="62"/>
      <c r="E3" s="61">
        <v>120</v>
      </c>
      <c r="F3" s="61"/>
      <c r="G3" s="64"/>
      <c r="H3" s="65">
        <f t="shared" ref="H3:H13" si="1">(($H$14/$E$14)*N3)*E3</f>
        <v>3.7640000000000002</v>
      </c>
      <c r="I3" s="65">
        <f t="shared" ref="I3:I12" si="2">(($I$14/$E$14)*N3)*E3</f>
        <v>5.0799999999999992</v>
      </c>
      <c r="J3" s="65">
        <f t="shared" ref="J3:J12" si="3">(($J$14/$E$14)*N3)*E3</f>
        <v>6.3140000000000009</v>
      </c>
      <c r="K3" s="65">
        <f t="shared" ref="K3:K12" si="4">(($K$14/$E$14)*N3)*E3</f>
        <v>7.57</v>
      </c>
      <c r="L3" s="47"/>
      <c r="M3" s="47"/>
      <c r="N3" s="84">
        <v>1.25</v>
      </c>
    </row>
    <row r="4" spans="1:14" x14ac:dyDescent="0.2">
      <c r="A4" s="96" t="s">
        <v>748</v>
      </c>
      <c r="B4" s="62">
        <f>ROUND(+($B$14/750)*N4*E4,2)</f>
        <v>1.88</v>
      </c>
      <c r="C4" s="63">
        <v>1</v>
      </c>
      <c r="D4" s="62"/>
      <c r="E4" s="61">
        <v>150</v>
      </c>
      <c r="F4" s="61"/>
      <c r="G4" s="64"/>
      <c r="H4" s="65">
        <f t="shared" si="1"/>
        <v>4.5920799999999993</v>
      </c>
      <c r="I4" s="65">
        <f t="shared" si="2"/>
        <v>6.1975999999999996</v>
      </c>
      <c r="J4" s="65">
        <f t="shared" si="3"/>
        <v>7.7030800000000008</v>
      </c>
      <c r="K4" s="65">
        <f t="shared" si="4"/>
        <v>9.2354000000000003</v>
      </c>
      <c r="L4" s="47"/>
      <c r="M4" s="47"/>
      <c r="N4" s="84">
        <v>1.22</v>
      </c>
    </row>
    <row r="5" spans="1:14" x14ac:dyDescent="0.2">
      <c r="A5" s="90" t="s">
        <v>626</v>
      </c>
      <c r="B5" s="62">
        <f t="shared" si="0"/>
        <v>2.38</v>
      </c>
      <c r="C5" s="63">
        <v>1</v>
      </c>
      <c r="D5" s="62"/>
      <c r="E5" s="61">
        <v>200</v>
      </c>
      <c r="F5" s="61"/>
      <c r="G5" s="64"/>
      <c r="H5" s="65">
        <f t="shared" si="1"/>
        <v>5.8216533333333329</v>
      </c>
      <c r="I5" s="65">
        <f t="shared" si="2"/>
        <v>7.8570666666666646</v>
      </c>
      <c r="J5" s="65">
        <f t="shared" si="3"/>
        <v>9.7656533333333329</v>
      </c>
      <c r="K5" s="65">
        <f t="shared" si="4"/>
        <v>11.708266666666665</v>
      </c>
      <c r="L5" s="47"/>
      <c r="M5" s="47"/>
      <c r="N5" s="84">
        <v>1.1599999999999999</v>
      </c>
    </row>
    <row r="6" spans="1:14" x14ac:dyDescent="0.2">
      <c r="A6" s="90" t="s">
        <v>627</v>
      </c>
      <c r="B6" s="62">
        <f t="shared" si="0"/>
        <v>2.87</v>
      </c>
      <c r="C6" s="63">
        <v>1</v>
      </c>
      <c r="D6" s="62"/>
      <c r="E6" s="61">
        <v>250</v>
      </c>
      <c r="F6" s="61"/>
      <c r="G6" s="64"/>
      <c r="H6" s="65">
        <f t="shared" si="1"/>
        <v>7.0261333333333331</v>
      </c>
      <c r="I6" s="65">
        <f t="shared" si="2"/>
        <v>9.4826666666666668</v>
      </c>
      <c r="J6" s="65">
        <f t="shared" si="3"/>
        <v>11.786133333333336</v>
      </c>
      <c r="K6" s="65">
        <f t="shared" si="4"/>
        <v>14.130666666666668</v>
      </c>
      <c r="L6" s="47"/>
      <c r="M6" s="47"/>
      <c r="N6" s="84">
        <v>1.1200000000000001</v>
      </c>
    </row>
    <row r="7" spans="1:14" x14ac:dyDescent="0.2">
      <c r="A7" s="90" t="s">
        <v>628</v>
      </c>
      <c r="B7" s="62">
        <f t="shared" si="0"/>
        <v>3.45</v>
      </c>
      <c r="C7" s="63">
        <v>1</v>
      </c>
      <c r="D7" s="62"/>
      <c r="E7" s="61">
        <v>300</v>
      </c>
      <c r="F7" s="61"/>
      <c r="G7" s="64"/>
      <c r="H7" s="65">
        <f t="shared" si="1"/>
        <v>8.4313599999999997</v>
      </c>
      <c r="I7" s="65">
        <f t="shared" si="2"/>
        <v>11.379200000000001</v>
      </c>
      <c r="J7" s="65">
        <f t="shared" si="3"/>
        <v>14.143360000000003</v>
      </c>
      <c r="K7" s="65">
        <f t="shared" si="4"/>
        <v>16.956800000000001</v>
      </c>
      <c r="L7" s="47"/>
      <c r="M7" s="47"/>
      <c r="N7" s="84">
        <v>1.1200000000000001</v>
      </c>
    </row>
    <row r="8" spans="1:14" x14ac:dyDescent="0.2">
      <c r="A8" s="96" t="s">
        <v>833</v>
      </c>
      <c r="B8" s="62">
        <f t="shared" ref="B8" si="5">ROUND(+($B$14/750)*N8*E8,2)</f>
        <v>4.13</v>
      </c>
      <c r="C8" s="63">
        <v>1</v>
      </c>
      <c r="D8" s="62"/>
      <c r="E8" s="61">
        <v>360</v>
      </c>
      <c r="F8" s="61"/>
      <c r="G8" s="64"/>
      <c r="H8" s="65">
        <f t="shared" si="1"/>
        <v>10.117632</v>
      </c>
      <c r="I8" s="65">
        <f t="shared" si="2"/>
        <v>13.65504</v>
      </c>
      <c r="J8" s="65">
        <f t="shared" si="3"/>
        <v>16.972032000000002</v>
      </c>
      <c r="K8" s="65">
        <f t="shared" si="4"/>
        <v>20.348160000000004</v>
      </c>
      <c r="L8" s="47"/>
      <c r="M8" s="47"/>
      <c r="N8" s="84">
        <v>1.1200000000000001</v>
      </c>
    </row>
    <row r="9" spans="1:14" x14ac:dyDescent="0.2">
      <c r="A9" s="90" t="s">
        <v>629</v>
      </c>
      <c r="B9" s="62">
        <f t="shared" si="0"/>
        <v>4.2300000000000004</v>
      </c>
      <c r="C9" s="63">
        <v>1</v>
      </c>
      <c r="D9" s="62"/>
      <c r="E9" s="61">
        <v>375</v>
      </c>
      <c r="F9" s="61"/>
      <c r="G9" s="64"/>
      <c r="H9" s="65">
        <f t="shared" si="1"/>
        <v>10.351000000000001</v>
      </c>
      <c r="I9" s="65">
        <f t="shared" si="2"/>
        <v>13.97</v>
      </c>
      <c r="J9" s="65">
        <f t="shared" si="3"/>
        <v>17.363500000000002</v>
      </c>
      <c r="K9" s="65">
        <f t="shared" si="4"/>
        <v>20.817500000000003</v>
      </c>
      <c r="L9" s="47"/>
      <c r="M9" s="47"/>
      <c r="N9" s="84">
        <v>1.1000000000000001</v>
      </c>
    </row>
    <row r="10" spans="1:14" x14ac:dyDescent="0.2">
      <c r="A10" s="90" t="s">
        <v>630</v>
      </c>
      <c r="B10" s="62">
        <f t="shared" si="0"/>
        <v>4.51</v>
      </c>
      <c r="C10" s="63">
        <v>1</v>
      </c>
      <c r="D10" s="62"/>
      <c r="E10" s="61">
        <v>400</v>
      </c>
      <c r="F10" s="61"/>
      <c r="G10" s="64"/>
      <c r="H10" s="65">
        <f t="shared" si="1"/>
        <v>11.041066666666667</v>
      </c>
      <c r="I10" s="65">
        <f t="shared" si="2"/>
        <v>14.901333333333334</v>
      </c>
      <c r="J10" s="65">
        <f t="shared" si="3"/>
        <v>18.52106666666667</v>
      </c>
      <c r="K10" s="65">
        <f t="shared" si="4"/>
        <v>22.205333333333336</v>
      </c>
      <c r="L10" s="47"/>
      <c r="M10" s="47"/>
      <c r="N10" s="84">
        <v>1.1000000000000001</v>
      </c>
    </row>
    <row r="11" spans="1:14" x14ac:dyDescent="0.2">
      <c r="A11" s="90" t="s">
        <v>631</v>
      </c>
      <c r="B11" s="62">
        <f t="shared" si="0"/>
        <v>5.38</v>
      </c>
      <c r="C11" s="63">
        <v>1</v>
      </c>
      <c r="D11" s="62"/>
      <c r="E11" s="61">
        <v>500</v>
      </c>
      <c r="F11" s="61"/>
      <c r="G11" s="64"/>
      <c r="H11" s="65">
        <f t="shared" si="1"/>
        <v>13.173999999999999</v>
      </c>
      <c r="I11" s="65">
        <f t="shared" si="2"/>
        <v>17.779999999999998</v>
      </c>
      <c r="J11" s="65">
        <f t="shared" si="3"/>
        <v>22.099000000000004</v>
      </c>
      <c r="K11" s="65">
        <f t="shared" si="4"/>
        <v>26.495000000000001</v>
      </c>
      <c r="L11" s="47"/>
      <c r="M11" s="47"/>
      <c r="N11" s="84">
        <v>1.05</v>
      </c>
    </row>
    <row r="12" spans="1:14" x14ac:dyDescent="0.2">
      <c r="A12" s="90" t="s">
        <v>632</v>
      </c>
      <c r="B12" s="62">
        <f t="shared" si="0"/>
        <v>6.15</v>
      </c>
      <c r="C12" s="63">
        <v>1</v>
      </c>
      <c r="D12" s="62"/>
      <c r="E12" s="61">
        <v>600</v>
      </c>
      <c r="F12" s="61"/>
      <c r="G12" s="64"/>
      <c r="H12" s="65">
        <f t="shared" si="1"/>
        <v>15.055999999999999</v>
      </c>
      <c r="I12" s="65">
        <f t="shared" si="2"/>
        <v>20.319999999999997</v>
      </c>
      <c r="J12" s="65">
        <f t="shared" si="3"/>
        <v>25.256000000000004</v>
      </c>
      <c r="K12" s="65">
        <f t="shared" si="4"/>
        <v>30.28</v>
      </c>
      <c r="L12" s="47"/>
      <c r="M12" s="47"/>
      <c r="N12" s="84">
        <v>1</v>
      </c>
    </row>
    <row r="13" spans="1:14" x14ac:dyDescent="0.2">
      <c r="A13" s="90" t="s">
        <v>633</v>
      </c>
      <c r="B13" s="62">
        <f t="shared" si="0"/>
        <v>7.18</v>
      </c>
      <c r="C13" s="63">
        <v>1</v>
      </c>
      <c r="D13" s="62"/>
      <c r="E13" s="61">
        <v>700</v>
      </c>
      <c r="F13" s="61"/>
      <c r="G13" s="64"/>
      <c r="H13" s="65">
        <f t="shared" si="1"/>
        <v>17.565333333333331</v>
      </c>
      <c r="I13" s="65">
        <f>(($I$14/$E$14)*N13)*E13</f>
        <v>23.706666666666663</v>
      </c>
      <c r="J13" s="65">
        <f>(($J$14/$E$14)*N13)*E13</f>
        <v>29.465333333333337</v>
      </c>
      <c r="K13" s="65">
        <f>(($K$14/$E$14)*N13)*E13</f>
        <v>35.326666666666668</v>
      </c>
      <c r="L13" s="47"/>
      <c r="M13" s="47"/>
      <c r="N13" s="84">
        <v>1</v>
      </c>
    </row>
    <row r="14" spans="1:14" x14ac:dyDescent="0.2">
      <c r="A14" s="90" t="s">
        <v>634</v>
      </c>
      <c r="B14" s="107">
        <v>7.69</v>
      </c>
      <c r="C14" s="63">
        <v>1</v>
      </c>
      <c r="D14" s="62"/>
      <c r="E14" s="61">
        <v>750</v>
      </c>
      <c r="F14" s="61"/>
      <c r="G14" s="64"/>
      <c r="H14" s="111">
        <v>18.82</v>
      </c>
      <c r="I14" s="98">
        <v>25.4</v>
      </c>
      <c r="J14" s="98">
        <v>31.57</v>
      </c>
      <c r="K14" s="98">
        <v>37.85</v>
      </c>
      <c r="L14" s="47"/>
      <c r="M14" s="47"/>
      <c r="N14" s="84">
        <v>1</v>
      </c>
    </row>
    <row r="15" spans="1:14" x14ac:dyDescent="0.2">
      <c r="A15" s="90" t="s">
        <v>635</v>
      </c>
      <c r="B15" s="62">
        <f t="shared" ref="B15:B21" si="6">ROUND(+($B$14/750)*N15*E15,2)</f>
        <v>8.1999999999999993</v>
      </c>
      <c r="C15" s="63">
        <v>1</v>
      </c>
      <c r="D15" s="62"/>
      <c r="E15" s="61">
        <v>800</v>
      </c>
      <c r="F15" s="61"/>
      <c r="G15" s="64"/>
      <c r="H15" s="65">
        <f t="shared" ref="H15:H21" si="7">(($H$14/$E$14)*N15)*E15</f>
        <v>20.074666666666666</v>
      </c>
      <c r="I15" s="65">
        <f t="shared" ref="I15:I21" si="8">(($I$14/$E$14)*N15)*E15</f>
        <v>27.09333333333333</v>
      </c>
      <c r="J15" s="65">
        <f t="shared" ref="J15:J21" si="9">(($J$14/$E$14)*N15)*E15</f>
        <v>33.674666666666667</v>
      </c>
      <c r="K15" s="65">
        <f t="shared" ref="K15:K21" si="10">(($K$14/$E$14)*N15)*E15</f>
        <v>40.373333333333335</v>
      </c>
      <c r="L15" s="47"/>
      <c r="M15" s="47"/>
      <c r="N15" s="84">
        <v>1</v>
      </c>
    </row>
    <row r="16" spans="1:14" x14ac:dyDescent="0.2">
      <c r="A16" s="96" t="s">
        <v>852</v>
      </c>
      <c r="B16" s="62">
        <f t="shared" si="6"/>
        <v>9.23</v>
      </c>
      <c r="C16" s="63">
        <v>1</v>
      </c>
      <c r="D16" s="62"/>
      <c r="E16" s="61">
        <v>900</v>
      </c>
      <c r="F16" s="61"/>
      <c r="G16" s="64"/>
      <c r="H16" s="65">
        <f t="shared" ref="H16" si="11">(($H$14/$E$14)*N16)*E16</f>
        <v>22.584</v>
      </c>
      <c r="I16" s="65">
        <f t="shared" ref="I16" si="12">(($I$14/$E$14)*N16)*E16</f>
        <v>30.479999999999997</v>
      </c>
      <c r="J16" s="65">
        <f t="shared" ref="J16" si="13">(($J$14/$E$14)*N16)*E16</f>
        <v>37.884</v>
      </c>
      <c r="K16" s="65">
        <f t="shared" ref="K16" si="14">(($K$14/$E$14)*N16)*E16</f>
        <v>45.42</v>
      </c>
      <c r="L16" s="47"/>
      <c r="M16" s="47"/>
      <c r="N16" s="84">
        <v>1</v>
      </c>
    </row>
    <row r="17" spans="1:14" x14ac:dyDescent="0.2">
      <c r="A17" s="96" t="s">
        <v>750</v>
      </c>
      <c r="B17" s="62">
        <f t="shared" si="6"/>
        <v>9.9499999999999993</v>
      </c>
      <c r="C17" s="63">
        <v>1</v>
      </c>
      <c r="D17" s="62"/>
      <c r="E17" s="61">
        <v>1000</v>
      </c>
      <c r="F17" s="61"/>
      <c r="G17" s="64"/>
      <c r="H17" s="65">
        <f t="shared" si="7"/>
        <v>24.34053333333333</v>
      </c>
      <c r="I17" s="65">
        <f t="shared" si="8"/>
        <v>32.850666666666662</v>
      </c>
      <c r="J17" s="65">
        <f t="shared" si="9"/>
        <v>40.830533333333335</v>
      </c>
      <c r="K17" s="65">
        <f t="shared" si="10"/>
        <v>48.952666666666666</v>
      </c>
      <c r="L17" s="47"/>
      <c r="M17" s="47"/>
      <c r="N17" s="84">
        <v>0.97</v>
      </c>
    </row>
    <row r="18" spans="1:14" x14ac:dyDescent="0.2">
      <c r="A18" s="96" t="s">
        <v>1053</v>
      </c>
      <c r="B18" s="62">
        <f t="shared" ref="B18" si="15">ROUND(+($B$14/750)*N18*E18,2)</f>
        <v>11.19</v>
      </c>
      <c r="C18" s="63">
        <v>1</v>
      </c>
      <c r="D18" s="62"/>
      <c r="E18" s="61">
        <v>1125</v>
      </c>
      <c r="F18" s="61"/>
      <c r="G18" s="64"/>
      <c r="H18" s="65">
        <f t="shared" ref="H18" si="16">(($H$14/$E$14)*N18)*E18</f>
        <v>27.383099999999995</v>
      </c>
      <c r="I18" s="65">
        <f t="shared" ref="I18" si="17">(($I$14/$E$14)*N18)*E18</f>
        <v>36.956999999999994</v>
      </c>
      <c r="J18" s="65">
        <f t="shared" ref="J18" si="18">(($J$14/$E$14)*N18)*E18</f>
        <v>45.934350000000002</v>
      </c>
      <c r="K18" s="65">
        <f t="shared" ref="K18" si="19">(($K$14/$E$14)*N18)*E18</f>
        <v>55.071750000000002</v>
      </c>
      <c r="L18" s="47"/>
      <c r="M18" s="47"/>
      <c r="N18" s="84">
        <v>0.97</v>
      </c>
    </row>
    <row r="19" spans="1:14" x14ac:dyDescent="0.2">
      <c r="A19" s="90" t="s">
        <v>636</v>
      </c>
      <c r="B19" s="62">
        <f t="shared" si="6"/>
        <v>11.34</v>
      </c>
      <c r="C19" s="63">
        <v>1</v>
      </c>
      <c r="D19" s="62"/>
      <c r="E19" s="61">
        <v>1140</v>
      </c>
      <c r="F19" s="61"/>
      <c r="G19" s="64"/>
      <c r="H19" s="65">
        <f t="shared" si="7"/>
        <v>27.748207999999998</v>
      </c>
      <c r="I19" s="65">
        <f t="shared" si="8"/>
        <v>37.449759999999991</v>
      </c>
      <c r="J19" s="65">
        <f t="shared" si="9"/>
        <v>46.546808000000006</v>
      </c>
      <c r="K19" s="65">
        <f t="shared" si="10"/>
        <v>55.806039999999996</v>
      </c>
      <c r="L19" s="47"/>
      <c r="M19" s="47"/>
      <c r="N19" s="84">
        <v>0.97</v>
      </c>
    </row>
    <row r="20" spans="1:14" x14ac:dyDescent="0.2">
      <c r="A20" s="90" t="s">
        <v>637</v>
      </c>
      <c r="B20" s="62">
        <f t="shared" si="6"/>
        <v>17.05</v>
      </c>
      <c r="C20" s="63">
        <v>1</v>
      </c>
      <c r="D20" s="62"/>
      <c r="E20" s="61">
        <v>1750</v>
      </c>
      <c r="F20" s="61"/>
      <c r="G20" s="64"/>
      <c r="H20" s="65">
        <f t="shared" si="7"/>
        <v>41.717666666666659</v>
      </c>
      <c r="I20" s="65">
        <f t="shared" si="8"/>
        <v>56.303333333333327</v>
      </c>
      <c r="J20" s="65">
        <f t="shared" si="9"/>
        <v>69.980166666666662</v>
      </c>
      <c r="K20" s="65">
        <f t="shared" si="10"/>
        <v>83.900833333333324</v>
      </c>
      <c r="L20" s="47"/>
      <c r="M20" s="47"/>
      <c r="N20" s="84">
        <v>0.95</v>
      </c>
    </row>
    <row r="21" spans="1:14" x14ac:dyDescent="0.2">
      <c r="A21" s="90" t="s">
        <v>638</v>
      </c>
      <c r="B21" s="62">
        <f t="shared" si="6"/>
        <v>29.22</v>
      </c>
      <c r="C21" s="63">
        <v>1</v>
      </c>
      <c r="D21" s="62"/>
      <c r="E21" s="61">
        <v>3000</v>
      </c>
      <c r="F21" s="61"/>
      <c r="G21" s="64"/>
      <c r="H21" s="65">
        <f t="shared" si="7"/>
        <v>71.515999999999991</v>
      </c>
      <c r="I21" s="65">
        <f t="shared" si="8"/>
        <v>96.52</v>
      </c>
      <c r="J21" s="65">
        <f t="shared" si="9"/>
        <v>119.96599999999999</v>
      </c>
      <c r="K21" s="65">
        <f t="shared" si="10"/>
        <v>143.82999999999998</v>
      </c>
      <c r="L21" s="47"/>
      <c r="M21" s="47"/>
      <c r="N21" s="84">
        <v>0.95</v>
      </c>
    </row>
    <row r="22" spans="1:14" x14ac:dyDescent="0.2">
      <c r="A22" s="90" t="s">
        <v>613</v>
      </c>
      <c r="B22" s="62">
        <f t="shared" ref="B22:B33" si="20">+($B$34/750)*N22*E22</f>
        <v>0.37603999999999999</v>
      </c>
      <c r="C22" s="63">
        <v>0.84</v>
      </c>
      <c r="D22" s="62"/>
      <c r="E22" s="61">
        <v>50</v>
      </c>
      <c r="F22" s="61"/>
      <c r="G22" s="64"/>
      <c r="H22" s="65">
        <f t="shared" ref="H22:H32" si="21">(($H$34/$E$34)*N22)*E22</f>
        <v>0.97749333333333333</v>
      </c>
      <c r="I22" s="65">
        <f t="shared" ref="I22:I32" si="22">(($I$34/$E$34)*N22)*E22</f>
        <v>1.1312800000000001</v>
      </c>
      <c r="J22" s="47"/>
      <c r="K22" s="47"/>
      <c r="L22" s="47"/>
      <c r="M22" s="47"/>
      <c r="N22" s="84">
        <v>1.58</v>
      </c>
    </row>
    <row r="23" spans="1:14" x14ac:dyDescent="0.2">
      <c r="A23" s="90" t="s">
        <v>614</v>
      </c>
      <c r="B23" s="62">
        <f t="shared" si="20"/>
        <v>1.0236379999999998</v>
      </c>
      <c r="C23" s="63">
        <v>0.84</v>
      </c>
      <c r="D23" s="62"/>
      <c r="E23" s="61">
        <v>187</v>
      </c>
      <c r="F23" s="61"/>
      <c r="G23" s="64"/>
      <c r="H23" s="65">
        <f t="shared" si="21"/>
        <v>2.6608853333333329</v>
      </c>
      <c r="I23" s="65">
        <f t="shared" si="22"/>
        <v>3.0795159999999999</v>
      </c>
      <c r="J23" s="47"/>
      <c r="K23" s="47"/>
      <c r="L23" s="47"/>
      <c r="M23" s="47"/>
      <c r="N23" s="84">
        <v>1.1499999999999999</v>
      </c>
    </row>
    <row r="24" spans="1:14" x14ac:dyDescent="0.2">
      <c r="A24" s="90" t="s">
        <v>615</v>
      </c>
      <c r="B24" s="62">
        <f t="shared" si="20"/>
        <v>1.0947999999999998</v>
      </c>
      <c r="C24" s="63">
        <v>0.84</v>
      </c>
      <c r="D24" s="62"/>
      <c r="E24" s="61">
        <v>200</v>
      </c>
      <c r="F24" s="61"/>
      <c r="G24" s="64"/>
      <c r="H24" s="65">
        <f t="shared" si="21"/>
        <v>2.8458666666666659</v>
      </c>
      <c r="I24" s="65">
        <f t="shared" si="22"/>
        <v>3.2936000000000001</v>
      </c>
      <c r="J24" s="47"/>
      <c r="K24" s="47"/>
      <c r="L24" s="47"/>
      <c r="M24" s="47"/>
      <c r="N24" s="84">
        <v>1.1499999999999999</v>
      </c>
    </row>
    <row r="25" spans="1:14" x14ac:dyDescent="0.2">
      <c r="A25" s="90" t="s">
        <v>616</v>
      </c>
      <c r="B25" s="62">
        <f t="shared" si="20"/>
        <v>1.3684999999999996</v>
      </c>
      <c r="C25" s="63">
        <v>0.84</v>
      </c>
      <c r="D25" s="62"/>
      <c r="E25" s="61">
        <v>250</v>
      </c>
      <c r="F25" s="61"/>
      <c r="G25" s="64"/>
      <c r="H25" s="65">
        <f t="shared" si="21"/>
        <v>3.5573333333333323</v>
      </c>
      <c r="I25" s="65">
        <f t="shared" si="22"/>
        <v>4.117</v>
      </c>
      <c r="J25" s="47"/>
      <c r="K25" s="47"/>
      <c r="L25" s="47"/>
      <c r="M25" s="47"/>
      <c r="N25" s="84">
        <v>1.1499999999999999</v>
      </c>
    </row>
    <row r="26" spans="1:14" x14ac:dyDescent="0.2">
      <c r="A26" s="90" t="s">
        <v>617</v>
      </c>
      <c r="B26" s="62">
        <f t="shared" si="20"/>
        <v>1.58508</v>
      </c>
      <c r="C26" s="63">
        <v>0.84</v>
      </c>
      <c r="D26" s="62"/>
      <c r="E26" s="61">
        <v>300</v>
      </c>
      <c r="F26" s="61"/>
      <c r="G26" s="64"/>
      <c r="H26" s="65">
        <f t="shared" si="21"/>
        <v>4.1203199999999995</v>
      </c>
      <c r="I26" s="65">
        <f t="shared" si="22"/>
        <v>4.7685600000000008</v>
      </c>
      <c r="J26" s="47"/>
      <c r="K26" s="47"/>
      <c r="L26" s="47"/>
      <c r="M26" s="47"/>
      <c r="N26" s="84">
        <v>1.1100000000000001</v>
      </c>
    </row>
    <row r="27" spans="1:14" x14ac:dyDescent="0.2">
      <c r="A27" s="90" t="s">
        <v>618</v>
      </c>
      <c r="B27" s="62">
        <f t="shared" si="20"/>
        <v>1.9635</v>
      </c>
      <c r="C27" s="63">
        <v>0.84</v>
      </c>
      <c r="D27" s="62"/>
      <c r="E27" s="61">
        <v>375</v>
      </c>
      <c r="F27" s="61"/>
      <c r="G27" s="64"/>
      <c r="H27" s="65">
        <f t="shared" si="21"/>
        <v>5.1040000000000001</v>
      </c>
      <c r="I27" s="65">
        <f t="shared" si="22"/>
        <v>5.9070000000000009</v>
      </c>
      <c r="J27" s="47"/>
      <c r="K27" s="47"/>
      <c r="L27" s="47"/>
      <c r="M27" s="47"/>
      <c r="N27" s="84">
        <v>1.1000000000000001</v>
      </c>
    </row>
    <row r="28" spans="1:14" x14ac:dyDescent="0.2">
      <c r="A28" s="90" t="s">
        <v>619</v>
      </c>
      <c r="B28" s="62">
        <f t="shared" si="20"/>
        <v>2.4990000000000001</v>
      </c>
      <c r="C28" s="63">
        <v>0.84</v>
      </c>
      <c r="D28" s="62"/>
      <c r="E28" s="61">
        <v>500</v>
      </c>
      <c r="F28" s="61"/>
      <c r="G28" s="64"/>
      <c r="H28" s="65">
        <f t="shared" si="21"/>
        <v>6.4959999999999996</v>
      </c>
      <c r="I28" s="65">
        <f t="shared" si="22"/>
        <v>7.5180000000000016</v>
      </c>
      <c r="J28" s="47"/>
      <c r="K28" s="47"/>
      <c r="L28" s="47"/>
      <c r="M28" s="47"/>
      <c r="N28" s="84">
        <v>1.05</v>
      </c>
    </row>
    <row r="29" spans="1:14" x14ac:dyDescent="0.2">
      <c r="A29" s="90" t="s">
        <v>620</v>
      </c>
      <c r="B29" s="62">
        <f t="shared" si="20"/>
        <v>2.9273999999999991</v>
      </c>
      <c r="C29" s="63">
        <v>0.84</v>
      </c>
      <c r="D29" s="62"/>
      <c r="E29" s="61">
        <v>600</v>
      </c>
      <c r="F29" s="61"/>
      <c r="G29" s="64"/>
      <c r="H29" s="65">
        <f t="shared" si="21"/>
        <v>7.6095999999999977</v>
      </c>
      <c r="I29" s="65">
        <f t="shared" si="22"/>
        <v>8.8068000000000008</v>
      </c>
      <c r="J29" s="47"/>
      <c r="K29" s="47"/>
      <c r="L29" s="47"/>
      <c r="M29" s="47"/>
      <c r="N29" s="84">
        <v>1.0249999999999999</v>
      </c>
    </row>
    <row r="30" spans="1:14" x14ac:dyDescent="0.2">
      <c r="A30" s="90" t="s">
        <v>621</v>
      </c>
      <c r="B30" s="62">
        <f t="shared" si="20"/>
        <v>3.171349999999999</v>
      </c>
      <c r="C30" s="63">
        <v>0.84</v>
      </c>
      <c r="D30" s="62"/>
      <c r="E30" s="61">
        <v>650</v>
      </c>
      <c r="F30" s="61"/>
      <c r="G30" s="64"/>
      <c r="H30" s="65">
        <f t="shared" si="21"/>
        <v>8.2437333333333314</v>
      </c>
      <c r="I30" s="65">
        <f t="shared" si="22"/>
        <v>9.5406999999999993</v>
      </c>
      <c r="J30" s="47"/>
      <c r="K30" s="47"/>
      <c r="L30" s="47"/>
      <c r="M30" s="47"/>
      <c r="N30" s="84">
        <v>1.0249999999999999</v>
      </c>
    </row>
    <row r="31" spans="1:14" x14ac:dyDescent="0.2">
      <c r="A31" s="90" t="s">
        <v>622</v>
      </c>
      <c r="B31" s="62">
        <f t="shared" si="20"/>
        <v>3.3319999999999999</v>
      </c>
      <c r="C31" s="63">
        <v>0.84</v>
      </c>
      <c r="D31" s="62"/>
      <c r="E31" s="61">
        <v>700</v>
      </c>
      <c r="F31" s="61"/>
      <c r="G31" s="64"/>
      <c r="H31" s="65">
        <f t="shared" si="21"/>
        <v>8.6613333333333316</v>
      </c>
      <c r="I31" s="65">
        <f t="shared" si="22"/>
        <v>10.024000000000001</v>
      </c>
      <c r="J31" s="47"/>
      <c r="K31" s="47"/>
      <c r="L31" s="47"/>
      <c r="M31" s="47"/>
      <c r="N31" s="84">
        <v>1</v>
      </c>
    </row>
    <row r="32" spans="1:14" x14ac:dyDescent="0.2">
      <c r="A32" s="90" t="s">
        <v>623</v>
      </c>
      <c r="B32" s="62">
        <f t="shared" si="20"/>
        <v>3.4271999999999996</v>
      </c>
      <c r="C32" s="63">
        <v>0.84</v>
      </c>
      <c r="D32" s="62"/>
      <c r="E32" s="61">
        <v>720</v>
      </c>
      <c r="F32" s="61"/>
      <c r="G32" s="64"/>
      <c r="H32" s="65">
        <f t="shared" si="21"/>
        <v>8.9087999999999994</v>
      </c>
      <c r="I32" s="65">
        <f t="shared" si="22"/>
        <v>10.310400000000001</v>
      </c>
      <c r="J32" s="47"/>
      <c r="K32" s="47"/>
      <c r="L32" s="47"/>
      <c r="M32" s="47"/>
      <c r="N32" s="84">
        <v>1</v>
      </c>
    </row>
    <row r="33" spans="1:14" x14ac:dyDescent="0.2">
      <c r="A33" s="90" t="s">
        <v>612</v>
      </c>
      <c r="B33" s="62">
        <f t="shared" si="20"/>
        <v>3.5604799999999996</v>
      </c>
      <c r="C33" s="63">
        <v>0.84</v>
      </c>
      <c r="D33" s="62"/>
      <c r="E33" s="61">
        <v>748</v>
      </c>
      <c r="F33" s="61"/>
      <c r="G33" s="64"/>
      <c r="H33" s="65">
        <f>(($H$34/$E$34)*N33)*E33</f>
        <v>9.2552533333333322</v>
      </c>
      <c r="I33" s="65">
        <f>(($I$34/$E$34)*N33)*E33</f>
        <v>10.711360000000001</v>
      </c>
      <c r="J33" s="47"/>
      <c r="K33" s="47"/>
      <c r="L33" s="47"/>
      <c r="M33" s="47"/>
      <c r="N33" s="84">
        <v>1</v>
      </c>
    </row>
    <row r="34" spans="1:14" x14ac:dyDescent="0.2">
      <c r="A34" s="61" t="s">
        <v>519</v>
      </c>
      <c r="B34" s="107">
        <v>3.57</v>
      </c>
      <c r="C34" s="63">
        <v>0.84</v>
      </c>
      <c r="D34" s="62"/>
      <c r="E34" s="61">
        <v>750</v>
      </c>
      <c r="F34" s="61"/>
      <c r="G34" s="64"/>
      <c r="H34" s="111">
        <v>9.2799999999999994</v>
      </c>
      <c r="I34" s="98">
        <v>10.74</v>
      </c>
      <c r="J34" s="47"/>
      <c r="K34" s="47"/>
      <c r="L34" s="47"/>
      <c r="M34" s="47"/>
      <c r="N34" s="84">
        <v>1</v>
      </c>
    </row>
    <row r="35" spans="1:14" x14ac:dyDescent="0.2">
      <c r="A35" s="90" t="s">
        <v>597</v>
      </c>
      <c r="B35" s="62">
        <f t="shared" ref="B35:B62" si="23">+($B$34/750)*N35*E35</f>
        <v>4.6171999999999995</v>
      </c>
      <c r="C35" s="63">
        <v>0.84</v>
      </c>
      <c r="D35" s="62"/>
      <c r="E35" s="61">
        <v>1000</v>
      </c>
      <c r="F35" s="61"/>
      <c r="G35" s="64"/>
      <c r="H35" s="65">
        <f t="shared" ref="H35:H51" si="24">(($H$34/$E$34)*N35)*E35</f>
        <v>12.002133333333331</v>
      </c>
      <c r="I35" s="65">
        <f t="shared" ref="I35:I51" si="25">(($I$34/$E$34)*N35)*E35</f>
        <v>13.890400000000001</v>
      </c>
      <c r="J35" s="47"/>
      <c r="K35" s="47"/>
      <c r="L35" s="47"/>
      <c r="M35" s="47"/>
      <c r="N35" s="84">
        <v>0.97</v>
      </c>
    </row>
    <row r="36" spans="1:14" x14ac:dyDescent="0.2">
      <c r="A36" s="90" t="s">
        <v>598</v>
      </c>
      <c r="B36" s="62">
        <f t="shared" si="23"/>
        <v>5.2636079999999987</v>
      </c>
      <c r="C36" s="63">
        <v>0.84</v>
      </c>
      <c r="D36" s="62"/>
      <c r="E36" s="61">
        <v>1140</v>
      </c>
      <c r="F36" s="61"/>
      <c r="G36" s="64"/>
      <c r="H36" s="65">
        <f t="shared" si="24"/>
        <v>13.682431999999999</v>
      </c>
      <c r="I36" s="65">
        <f t="shared" si="25"/>
        <v>15.835056000000002</v>
      </c>
      <c r="J36" s="47"/>
      <c r="K36" s="47"/>
      <c r="L36" s="47"/>
      <c r="M36" s="47"/>
      <c r="N36" s="84">
        <v>0.97</v>
      </c>
    </row>
    <row r="37" spans="1:14" x14ac:dyDescent="0.2">
      <c r="A37" s="90" t="s">
        <v>599</v>
      </c>
      <c r="B37" s="62">
        <f t="shared" si="23"/>
        <v>6.7829999999999986</v>
      </c>
      <c r="C37" s="63">
        <v>0.84</v>
      </c>
      <c r="D37" s="62"/>
      <c r="E37" s="61">
        <v>1500</v>
      </c>
      <c r="F37" s="61"/>
      <c r="G37" s="64"/>
      <c r="H37" s="65">
        <f t="shared" si="24"/>
        <v>17.631999999999998</v>
      </c>
      <c r="I37" s="65">
        <f t="shared" si="25"/>
        <v>20.405999999999999</v>
      </c>
      <c r="J37" s="47"/>
      <c r="K37" s="47"/>
      <c r="L37" s="47"/>
      <c r="M37" s="47"/>
      <c r="N37" s="84">
        <v>0.95</v>
      </c>
    </row>
    <row r="38" spans="1:14" x14ac:dyDescent="0.2">
      <c r="A38" s="90" t="s">
        <v>600</v>
      </c>
      <c r="B38" s="62">
        <f t="shared" si="23"/>
        <v>8.8536000000000001</v>
      </c>
      <c r="C38" s="63">
        <v>0.84</v>
      </c>
      <c r="D38" s="62"/>
      <c r="E38" s="61">
        <v>2000</v>
      </c>
      <c r="F38" s="61"/>
      <c r="G38" s="64"/>
      <c r="H38" s="65">
        <f t="shared" si="24"/>
        <v>23.014399999999998</v>
      </c>
      <c r="I38" s="65">
        <f t="shared" si="25"/>
        <v>26.635200000000005</v>
      </c>
      <c r="J38" s="47"/>
      <c r="K38" s="47"/>
      <c r="L38" s="47"/>
      <c r="M38" s="47"/>
      <c r="N38" s="84">
        <v>0.93</v>
      </c>
    </row>
    <row r="39" spans="1:14" x14ac:dyDescent="0.2">
      <c r="A39" s="90" t="s">
        <v>601</v>
      </c>
      <c r="B39" s="62">
        <f t="shared" si="23"/>
        <v>9.9603000000000002</v>
      </c>
      <c r="C39" s="63">
        <v>0.84</v>
      </c>
      <c r="D39" s="62"/>
      <c r="E39" s="61">
        <v>2250</v>
      </c>
      <c r="F39" s="61"/>
      <c r="G39" s="64"/>
      <c r="H39" s="65">
        <f t="shared" si="24"/>
        <v>25.891199999999998</v>
      </c>
      <c r="I39" s="65">
        <f t="shared" si="25"/>
        <v>29.964600000000004</v>
      </c>
      <c r="J39" s="47"/>
      <c r="K39" s="47"/>
      <c r="L39" s="47"/>
      <c r="M39" s="47"/>
      <c r="N39" s="84">
        <v>0.93</v>
      </c>
    </row>
    <row r="40" spans="1:14" x14ac:dyDescent="0.2">
      <c r="A40" s="90" t="s">
        <v>602</v>
      </c>
      <c r="B40" s="62">
        <f t="shared" si="23"/>
        <v>12.851999999999999</v>
      </c>
      <c r="C40" s="63">
        <v>0.84</v>
      </c>
      <c r="D40" s="62"/>
      <c r="E40" s="61">
        <v>3000</v>
      </c>
      <c r="F40" s="61"/>
      <c r="G40" s="64"/>
      <c r="H40" s="65">
        <f t="shared" si="24"/>
        <v>33.407999999999994</v>
      </c>
      <c r="I40" s="65">
        <f t="shared" si="25"/>
        <v>38.664000000000009</v>
      </c>
      <c r="J40" s="47"/>
      <c r="K40" s="47"/>
      <c r="L40" s="47"/>
      <c r="M40" s="47"/>
      <c r="N40" s="84">
        <v>0.9</v>
      </c>
    </row>
    <row r="41" spans="1:14" x14ac:dyDescent="0.2">
      <c r="A41" s="90" t="s">
        <v>603</v>
      </c>
      <c r="B41" s="62">
        <f t="shared" si="23"/>
        <v>17.135999999999999</v>
      </c>
      <c r="C41" s="63">
        <v>0.84</v>
      </c>
      <c r="D41" s="62"/>
      <c r="E41" s="61">
        <v>4000</v>
      </c>
      <c r="F41" s="61"/>
      <c r="G41" s="64"/>
      <c r="H41" s="65">
        <f t="shared" si="24"/>
        <v>44.54399999999999</v>
      </c>
      <c r="I41" s="65">
        <f t="shared" si="25"/>
        <v>51.552000000000007</v>
      </c>
      <c r="J41" s="47"/>
      <c r="K41" s="47"/>
      <c r="L41" s="47"/>
      <c r="M41" s="47"/>
      <c r="N41" s="84">
        <v>0.9</v>
      </c>
    </row>
    <row r="42" spans="1:14" x14ac:dyDescent="0.2">
      <c r="A42" s="90" t="s">
        <v>604</v>
      </c>
      <c r="B42" s="62">
        <f t="shared" si="23"/>
        <v>19.277999999999999</v>
      </c>
      <c r="C42" s="63">
        <v>0.84</v>
      </c>
      <c r="D42" s="62"/>
      <c r="E42" s="61">
        <v>4500</v>
      </c>
      <c r="F42" s="61"/>
      <c r="G42" s="64"/>
      <c r="H42" s="65">
        <f t="shared" si="24"/>
        <v>50.111999999999995</v>
      </c>
      <c r="I42" s="65">
        <f t="shared" si="25"/>
        <v>57.996000000000009</v>
      </c>
      <c r="J42" s="47"/>
      <c r="K42" s="47"/>
      <c r="L42" s="47"/>
      <c r="M42" s="47"/>
      <c r="N42" s="84">
        <v>0.9</v>
      </c>
    </row>
    <row r="43" spans="1:14" x14ac:dyDescent="0.2">
      <c r="A43" s="90" t="s">
        <v>605</v>
      </c>
      <c r="B43" s="62">
        <f t="shared" si="23"/>
        <v>21.419999999999998</v>
      </c>
      <c r="C43" s="63">
        <v>0.84</v>
      </c>
      <c r="D43" s="62"/>
      <c r="E43" s="61">
        <v>5000</v>
      </c>
      <c r="F43" s="61"/>
      <c r="G43" s="64"/>
      <c r="H43" s="65">
        <f t="shared" si="24"/>
        <v>55.679999999999993</v>
      </c>
      <c r="I43" s="65">
        <f t="shared" si="25"/>
        <v>64.440000000000012</v>
      </c>
      <c r="J43" s="47"/>
      <c r="K43" s="47"/>
      <c r="L43" s="47"/>
      <c r="M43" s="47"/>
      <c r="N43" s="84">
        <v>0.9</v>
      </c>
    </row>
    <row r="44" spans="1:14" x14ac:dyDescent="0.2">
      <c r="A44" s="96" t="s">
        <v>832</v>
      </c>
      <c r="B44" s="62">
        <f t="shared" ref="B44" si="26">+($B$34/750)*N44*E44</f>
        <v>22.491</v>
      </c>
      <c r="C44" s="63">
        <v>0.84</v>
      </c>
      <c r="D44" s="62"/>
      <c r="E44" s="61">
        <v>5250</v>
      </c>
      <c r="F44" s="61"/>
      <c r="G44" s="64"/>
      <c r="H44" s="65">
        <f t="shared" si="24"/>
        <v>58.463999999999992</v>
      </c>
      <c r="I44" s="65">
        <f t="shared" si="25"/>
        <v>67.662000000000006</v>
      </c>
      <c r="J44" s="47"/>
      <c r="K44" s="47"/>
      <c r="L44" s="47"/>
      <c r="M44" s="47"/>
      <c r="N44" s="84">
        <v>0.9</v>
      </c>
    </row>
    <row r="45" spans="1:14" x14ac:dyDescent="0.2">
      <c r="A45" s="90" t="s">
        <v>606</v>
      </c>
      <c r="B45" s="62">
        <f t="shared" si="23"/>
        <v>25.703999999999997</v>
      </c>
      <c r="C45" s="63">
        <v>0.84</v>
      </c>
      <c r="D45" s="62"/>
      <c r="E45" s="61">
        <v>6000</v>
      </c>
      <c r="F45" s="61"/>
      <c r="G45" s="64"/>
      <c r="H45" s="65">
        <f t="shared" si="24"/>
        <v>66.815999999999988</v>
      </c>
      <c r="I45" s="65">
        <f t="shared" si="25"/>
        <v>77.328000000000017</v>
      </c>
      <c r="J45" s="47"/>
      <c r="K45" s="47"/>
      <c r="L45" s="47"/>
      <c r="M45" s="47"/>
      <c r="N45" s="84">
        <v>0.9</v>
      </c>
    </row>
    <row r="46" spans="1:14" x14ac:dyDescent="0.2">
      <c r="A46" s="90" t="s">
        <v>607</v>
      </c>
      <c r="B46" s="62">
        <f t="shared" si="23"/>
        <v>28.916999999999998</v>
      </c>
      <c r="C46" s="63">
        <v>0.84</v>
      </c>
      <c r="D46" s="62"/>
      <c r="E46" s="61">
        <v>6750</v>
      </c>
      <c r="F46" s="61"/>
      <c r="G46" s="64"/>
      <c r="H46" s="65">
        <f t="shared" si="24"/>
        <v>75.167999999999992</v>
      </c>
      <c r="I46" s="65">
        <f t="shared" si="25"/>
        <v>86.994000000000014</v>
      </c>
      <c r="J46" s="47"/>
      <c r="K46" s="47"/>
      <c r="L46" s="47"/>
      <c r="M46" s="47"/>
      <c r="N46" s="84">
        <v>0.9</v>
      </c>
    </row>
    <row r="47" spans="1:14" x14ac:dyDescent="0.2">
      <c r="A47" s="90" t="s">
        <v>608</v>
      </c>
      <c r="B47" s="62">
        <f t="shared" si="23"/>
        <v>38.555999999999997</v>
      </c>
      <c r="C47" s="63">
        <v>0.84</v>
      </c>
      <c r="D47" s="62"/>
      <c r="E47" s="61">
        <v>9000</v>
      </c>
      <c r="F47" s="61"/>
      <c r="G47" s="64"/>
      <c r="H47" s="65">
        <f t="shared" si="24"/>
        <v>100.22399999999999</v>
      </c>
      <c r="I47" s="65">
        <f t="shared" si="25"/>
        <v>115.99200000000002</v>
      </c>
      <c r="J47" s="47"/>
      <c r="K47" s="47"/>
      <c r="L47" s="47"/>
      <c r="M47" s="47"/>
      <c r="N47" s="84">
        <v>0.9</v>
      </c>
    </row>
    <row r="48" spans="1:14" x14ac:dyDescent="0.2">
      <c r="A48" s="90" t="s">
        <v>609</v>
      </c>
      <c r="B48" s="62">
        <f t="shared" si="23"/>
        <v>68.543999999999997</v>
      </c>
      <c r="C48" s="63">
        <v>0.84</v>
      </c>
      <c r="D48" s="62"/>
      <c r="E48" s="61">
        <v>16000</v>
      </c>
      <c r="F48" s="61"/>
      <c r="G48" s="64"/>
      <c r="H48" s="65">
        <f t="shared" si="24"/>
        <v>178.17599999999996</v>
      </c>
      <c r="I48" s="65">
        <f t="shared" si="25"/>
        <v>206.20800000000003</v>
      </c>
      <c r="J48" s="47"/>
      <c r="K48" s="47"/>
      <c r="L48" s="47"/>
      <c r="M48" s="47"/>
      <c r="N48" s="84">
        <v>0.9</v>
      </c>
    </row>
    <row r="49" spans="1:14" x14ac:dyDescent="0.2">
      <c r="A49" s="90" t="s">
        <v>610</v>
      </c>
      <c r="B49" s="62">
        <f t="shared" si="23"/>
        <v>77.111999999999995</v>
      </c>
      <c r="C49" s="63">
        <v>0.84</v>
      </c>
      <c r="D49" s="62"/>
      <c r="E49" s="61">
        <v>18000</v>
      </c>
      <c r="F49" s="61"/>
      <c r="G49" s="64"/>
      <c r="H49" s="65">
        <f t="shared" si="24"/>
        <v>200.44799999999998</v>
      </c>
      <c r="I49" s="65">
        <f t="shared" si="25"/>
        <v>231.98400000000004</v>
      </c>
      <c r="J49" s="47"/>
      <c r="K49" s="47"/>
      <c r="L49" s="47"/>
      <c r="M49" s="47"/>
      <c r="N49" s="84">
        <v>0.9</v>
      </c>
    </row>
    <row r="50" spans="1:14" x14ac:dyDescent="0.2">
      <c r="A50" s="90" t="s">
        <v>611</v>
      </c>
      <c r="B50" s="62">
        <f t="shared" si="23"/>
        <v>85.679999999999993</v>
      </c>
      <c r="C50" s="63">
        <v>0.84</v>
      </c>
      <c r="D50" s="62"/>
      <c r="E50" s="61">
        <v>20000</v>
      </c>
      <c r="F50" s="61"/>
      <c r="G50" s="64"/>
      <c r="H50" s="65">
        <f t="shared" si="24"/>
        <v>222.71999999999997</v>
      </c>
      <c r="I50" s="65">
        <f t="shared" si="25"/>
        <v>257.76000000000005</v>
      </c>
      <c r="J50" s="47"/>
      <c r="K50" s="47"/>
      <c r="L50" s="47"/>
      <c r="M50" s="47"/>
      <c r="N50" s="84">
        <v>0.9</v>
      </c>
    </row>
    <row r="51" spans="1:14" x14ac:dyDescent="0.2">
      <c r="A51" s="96" t="s">
        <v>754</v>
      </c>
      <c r="B51" s="62">
        <f t="shared" si="23"/>
        <v>0.37603999999999999</v>
      </c>
      <c r="C51" s="63">
        <v>0.84</v>
      </c>
      <c r="D51" s="62"/>
      <c r="E51" s="61">
        <v>50</v>
      </c>
      <c r="F51" s="61"/>
      <c r="G51" s="64"/>
      <c r="H51" s="65">
        <f t="shared" si="24"/>
        <v>0.97749333333333333</v>
      </c>
      <c r="I51" s="65">
        <f t="shared" si="25"/>
        <v>1.1312800000000001</v>
      </c>
      <c r="J51" s="47"/>
      <c r="K51" s="47"/>
      <c r="L51" s="47"/>
      <c r="M51" s="47"/>
      <c r="N51" s="84">
        <v>1.58</v>
      </c>
    </row>
    <row r="52" spans="1:14" x14ac:dyDescent="0.2">
      <c r="A52" s="96" t="s">
        <v>753</v>
      </c>
      <c r="B52" s="62">
        <f t="shared" si="23"/>
        <v>1.0236379999999998</v>
      </c>
      <c r="C52" s="63">
        <v>0.84</v>
      </c>
      <c r="D52" s="62"/>
      <c r="E52" s="61">
        <v>187</v>
      </c>
      <c r="F52" s="61"/>
      <c r="G52" s="64"/>
      <c r="H52" s="65">
        <f t="shared" ref="H52:H79" si="27">(($H$34/$E$34)*N52)*E52</f>
        <v>2.6608853333333329</v>
      </c>
      <c r="I52" s="65">
        <f t="shared" ref="I52:I79" si="28">(($I$34/$E$34)*N52)*E52</f>
        <v>3.0795159999999999</v>
      </c>
      <c r="J52" s="47"/>
      <c r="K52" s="47"/>
      <c r="L52" s="47"/>
      <c r="M52" s="47"/>
      <c r="N52" s="84">
        <v>1.1499999999999999</v>
      </c>
    </row>
    <row r="53" spans="1:14" x14ac:dyDescent="0.2">
      <c r="A53" s="96" t="s">
        <v>755</v>
      </c>
      <c r="B53" s="62">
        <f t="shared" si="23"/>
        <v>1.0947999999999998</v>
      </c>
      <c r="C53" s="63">
        <v>0.84</v>
      </c>
      <c r="D53" s="62"/>
      <c r="E53" s="61">
        <v>200</v>
      </c>
      <c r="F53" s="61"/>
      <c r="G53" s="64"/>
      <c r="H53" s="65">
        <f t="shared" si="27"/>
        <v>2.8458666666666659</v>
      </c>
      <c r="I53" s="65">
        <f t="shared" si="28"/>
        <v>3.2936000000000001</v>
      </c>
      <c r="J53" s="47"/>
      <c r="K53" s="47"/>
      <c r="L53" s="47"/>
      <c r="M53" s="47"/>
      <c r="N53" s="84">
        <v>1.1499999999999999</v>
      </c>
    </row>
    <row r="54" spans="1:14" x14ac:dyDescent="0.2">
      <c r="A54" s="96" t="s">
        <v>756</v>
      </c>
      <c r="B54" s="62">
        <f t="shared" si="23"/>
        <v>1.3684999999999996</v>
      </c>
      <c r="C54" s="63">
        <v>0.84</v>
      </c>
      <c r="D54" s="62"/>
      <c r="E54" s="61">
        <v>250</v>
      </c>
      <c r="F54" s="61"/>
      <c r="G54" s="64"/>
      <c r="H54" s="65">
        <f t="shared" si="27"/>
        <v>3.5573333333333323</v>
      </c>
      <c r="I54" s="65">
        <f t="shared" si="28"/>
        <v>4.117</v>
      </c>
      <c r="J54" s="47"/>
      <c r="K54" s="47"/>
      <c r="L54" s="47"/>
      <c r="M54" s="47"/>
      <c r="N54" s="84">
        <v>1.1499999999999999</v>
      </c>
    </row>
    <row r="55" spans="1:14" x14ac:dyDescent="0.2">
      <c r="A55" s="96" t="s">
        <v>757</v>
      </c>
      <c r="B55" s="62">
        <f t="shared" si="23"/>
        <v>1.58508</v>
      </c>
      <c r="C55" s="63">
        <v>0.84</v>
      </c>
      <c r="D55" s="62"/>
      <c r="E55" s="61">
        <v>300</v>
      </c>
      <c r="F55" s="61"/>
      <c r="G55" s="64"/>
      <c r="H55" s="65">
        <f t="shared" si="27"/>
        <v>4.1203199999999995</v>
      </c>
      <c r="I55" s="65">
        <f t="shared" si="28"/>
        <v>4.7685600000000008</v>
      </c>
      <c r="J55" s="47"/>
      <c r="K55" s="47"/>
      <c r="L55" s="47"/>
      <c r="M55" s="47"/>
      <c r="N55" s="84">
        <v>1.1100000000000001</v>
      </c>
    </row>
    <row r="56" spans="1:14" x14ac:dyDescent="0.2">
      <c r="A56" s="96" t="s">
        <v>758</v>
      </c>
      <c r="B56" s="62">
        <f t="shared" si="23"/>
        <v>1.9635</v>
      </c>
      <c r="C56" s="63">
        <v>0.84</v>
      </c>
      <c r="D56" s="62"/>
      <c r="E56" s="61">
        <v>375</v>
      </c>
      <c r="F56" s="61"/>
      <c r="G56" s="64"/>
      <c r="H56" s="65">
        <f t="shared" si="27"/>
        <v>5.1040000000000001</v>
      </c>
      <c r="I56" s="65">
        <f t="shared" si="28"/>
        <v>5.9070000000000009</v>
      </c>
      <c r="J56" s="47"/>
      <c r="K56" s="47"/>
      <c r="L56" s="47"/>
      <c r="M56" s="47"/>
      <c r="N56" s="84">
        <v>1.1000000000000001</v>
      </c>
    </row>
    <row r="57" spans="1:14" x14ac:dyDescent="0.2">
      <c r="A57" s="96" t="s">
        <v>759</v>
      </c>
      <c r="B57" s="62">
        <f t="shared" si="23"/>
        <v>2.4990000000000001</v>
      </c>
      <c r="C57" s="63">
        <v>0.84</v>
      </c>
      <c r="D57" s="62"/>
      <c r="E57" s="61">
        <v>500</v>
      </c>
      <c r="F57" s="61"/>
      <c r="G57" s="64"/>
      <c r="H57" s="65">
        <f t="shared" si="27"/>
        <v>6.4959999999999996</v>
      </c>
      <c r="I57" s="65">
        <f t="shared" si="28"/>
        <v>7.5180000000000016</v>
      </c>
      <c r="J57" s="47"/>
      <c r="K57" s="47"/>
      <c r="L57" s="47"/>
      <c r="M57" s="47"/>
      <c r="N57" s="84">
        <v>1.05</v>
      </c>
    </row>
    <row r="58" spans="1:14" x14ac:dyDescent="0.2">
      <c r="A58" s="96" t="s">
        <v>760</v>
      </c>
      <c r="B58" s="62">
        <f t="shared" si="23"/>
        <v>2.9273999999999991</v>
      </c>
      <c r="C58" s="63">
        <v>0.84</v>
      </c>
      <c r="D58" s="62"/>
      <c r="E58" s="61">
        <v>600</v>
      </c>
      <c r="F58" s="61"/>
      <c r="G58" s="64"/>
      <c r="H58" s="65">
        <f t="shared" si="27"/>
        <v>7.6095999999999977</v>
      </c>
      <c r="I58" s="65">
        <f t="shared" si="28"/>
        <v>8.8068000000000008</v>
      </c>
      <c r="J58" s="47"/>
      <c r="K58" s="47"/>
      <c r="L58" s="47"/>
      <c r="M58" s="47"/>
      <c r="N58" s="84">
        <v>1.0249999999999999</v>
      </c>
    </row>
    <row r="59" spans="1:14" x14ac:dyDescent="0.2">
      <c r="A59" s="96" t="s">
        <v>761</v>
      </c>
      <c r="B59" s="62">
        <f t="shared" si="23"/>
        <v>3.171349999999999</v>
      </c>
      <c r="C59" s="63">
        <v>0.84</v>
      </c>
      <c r="D59" s="62"/>
      <c r="E59" s="61">
        <v>650</v>
      </c>
      <c r="F59" s="61"/>
      <c r="G59" s="64"/>
      <c r="H59" s="65">
        <f t="shared" si="27"/>
        <v>8.2437333333333314</v>
      </c>
      <c r="I59" s="65">
        <f t="shared" si="28"/>
        <v>9.5406999999999993</v>
      </c>
      <c r="J59" s="47"/>
      <c r="K59" s="47"/>
      <c r="L59" s="47"/>
      <c r="M59" s="47"/>
      <c r="N59" s="84">
        <v>1.0249999999999999</v>
      </c>
    </row>
    <row r="60" spans="1:14" x14ac:dyDescent="0.2">
      <c r="A60" s="96" t="s">
        <v>762</v>
      </c>
      <c r="B60" s="62">
        <f t="shared" si="23"/>
        <v>3.3319999999999999</v>
      </c>
      <c r="C60" s="63">
        <v>0.84</v>
      </c>
      <c r="D60" s="62"/>
      <c r="E60" s="61">
        <v>700</v>
      </c>
      <c r="F60" s="61"/>
      <c r="G60" s="64"/>
      <c r="H60" s="65">
        <f t="shared" si="27"/>
        <v>8.6613333333333316</v>
      </c>
      <c r="I60" s="65">
        <f t="shared" si="28"/>
        <v>10.024000000000001</v>
      </c>
      <c r="J60" s="47"/>
      <c r="K60" s="47"/>
      <c r="L60" s="47"/>
      <c r="M60" s="47"/>
      <c r="N60" s="84">
        <v>1</v>
      </c>
    </row>
    <row r="61" spans="1:14" x14ac:dyDescent="0.2">
      <c r="A61" s="96" t="s">
        <v>763</v>
      </c>
      <c r="B61" s="62">
        <f t="shared" si="23"/>
        <v>3.4271999999999996</v>
      </c>
      <c r="C61" s="63">
        <v>0.84</v>
      </c>
      <c r="D61" s="62"/>
      <c r="E61" s="61">
        <v>720</v>
      </c>
      <c r="F61" s="61"/>
      <c r="G61" s="64"/>
      <c r="H61" s="65">
        <f t="shared" si="27"/>
        <v>8.9087999999999994</v>
      </c>
      <c r="I61" s="65">
        <f t="shared" si="28"/>
        <v>10.310400000000001</v>
      </c>
      <c r="J61" s="47"/>
      <c r="K61" s="47"/>
      <c r="L61" s="47"/>
      <c r="M61" s="47"/>
      <c r="N61" s="84">
        <v>1</v>
      </c>
    </row>
    <row r="62" spans="1:14" x14ac:dyDescent="0.2">
      <c r="A62" s="96" t="s">
        <v>764</v>
      </c>
      <c r="B62" s="62">
        <f t="shared" si="23"/>
        <v>3.5604799999999996</v>
      </c>
      <c r="C62" s="63">
        <v>0.84</v>
      </c>
      <c r="D62" s="62"/>
      <c r="E62" s="61">
        <v>748</v>
      </c>
      <c r="F62" s="61"/>
      <c r="G62" s="64"/>
      <c r="H62" s="65">
        <f t="shared" si="27"/>
        <v>9.2552533333333322</v>
      </c>
      <c r="I62" s="65">
        <f t="shared" si="28"/>
        <v>10.711360000000001</v>
      </c>
      <c r="J62" s="47"/>
      <c r="K62" s="47"/>
      <c r="L62" s="47"/>
      <c r="M62" s="47"/>
      <c r="N62" s="84">
        <v>1</v>
      </c>
    </row>
    <row r="63" spans="1:14" x14ac:dyDescent="0.2">
      <c r="A63" s="61" t="s">
        <v>765</v>
      </c>
      <c r="B63" s="62">
        <f>+B34</f>
        <v>3.57</v>
      </c>
      <c r="C63" s="63">
        <v>0.84</v>
      </c>
      <c r="D63" s="62"/>
      <c r="E63" s="61">
        <v>750</v>
      </c>
      <c r="F63" s="61"/>
      <c r="G63" s="64"/>
      <c r="H63" s="65">
        <f t="shared" si="27"/>
        <v>9.2799999999999994</v>
      </c>
      <c r="I63" s="65">
        <f t="shared" si="28"/>
        <v>10.74</v>
      </c>
      <c r="J63" s="47"/>
      <c r="K63" s="47"/>
      <c r="L63" s="47"/>
      <c r="M63" s="47"/>
      <c r="N63" s="84">
        <v>1</v>
      </c>
    </row>
    <row r="64" spans="1:14" x14ac:dyDescent="0.2">
      <c r="A64" s="61" t="s">
        <v>957</v>
      </c>
      <c r="B64" s="62">
        <f>+B35</f>
        <v>4.6171999999999995</v>
      </c>
      <c r="C64" s="63">
        <v>0.84</v>
      </c>
      <c r="D64" s="62"/>
      <c r="E64" s="61">
        <v>800</v>
      </c>
      <c r="F64" s="61"/>
      <c r="G64" s="64"/>
      <c r="H64" s="65">
        <f t="shared" ref="H64" si="29">(($H$34/$E$34)*N64)*E64</f>
        <v>9.8986666666666654</v>
      </c>
      <c r="I64" s="65">
        <f t="shared" ref="I64" si="30">(($I$34/$E$34)*N64)*E64</f>
        <v>11.456000000000001</v>
      </c>
      <c r="J64" s="47"/>
      <c r="K64" s="47"/>
      <c r="L64" s="47"/>
      <c r="M64" s="47"/>
      <c r="N64" s="84">
        <v>1</v>
      </c>
    </row>
    <row r="65" spans="1:14" x14ac:dyDescent="0.2">
      <c r="A65" s="96" t="s">
        <v>766</v>
      </c>
      <c r="B65" s="62">
        <f t="shared" ref="B65:B79" si="31">+($B$34/750)*N65*E65</f>
        <v>4.6171999999999995</v>
      </c>
      <c r="C65" s="63">
        <v>0.84</v>
      </c>
      <c r="D65" s="62"/>
      <c r="E65" s="61">
        <v>1000</v>
      </c>
      <c r="F65" s="61"/>
      <c r="G65" s="64"/>
      <c r="H65" s="65">
        <f t="shared" si="27"/>
        <v>12.002133333333331</v>
      </c>
      <c r="I65" s="65">
        <f t="shared" si="28"/>
        <v>13.890400000000001</v>
      </c>
      <c r="J65" s="47"/>
      <c r="K65" s="47"/>
      <c r="L65" s="47"/>
      <c r="M65" s="47"/>
      <c r="N65" s="84">
        <v>0.97</v>
      </c>
    </row>
    <row r="66" spans="1:14" x14ac:dyDescent="0.2">
      <c r="A66" s="96" t="s">
        <v>767</v>
      </c>
      <c r="B66" s="62">
        <f t="shared" si="31"/>
        <v>5.2636079999999987</v>
      </c>
      <c r="C66" s="63">
        <v>0.84</v>
      </c>
      <c r="D66" s="62"/>
      <c r="E66" s="61">
        <v>1140</v>
      </c>
      <c r="F66" s="61"/>
      <c r="G66" s="64"/>
      <c r="H66" s="65">
        <f t="shared" si="27"/>
        <v>13.682431999999999</v>
      </c>
      <c r="I66" s="65">
        <f t="shared" si="28"/>
        <v>15.835056000000002</v>
      </c>
      <c r="J66" s="47"/>
      <c r="K66" s="47"/>
      <c r="L66" s="47"/>
      <c r="M66" s="47"/>
      <c r="N66" s="84">
        <v>0.97</v>
      </c>
    </row>
    <row r="67" spans="1:14" x14ac:dyDescent="0.2">
      <c r="A67" s="96" t="s">
        <v>768</v>
      </c>
      <c r="B67" s="62">
        <f t="shared" si="31"/>
        <v>6.7829999999999986</v>
      </c>
      <c r="C67" s="63">
        <v>0.84</v>
      </c>
      <c r="D67" s="62"/>
      <c r="E67" s="61">
        <v>1500</v>
      </c>
      <c r="F67" s="61"/>
      <c r="G67" s="64"/>
      <c r="H67" s="65">
        <f t="shared" si="27"/>
        <v>17.631999999999998</v>
      </c>
      <c r="I67" s="65">
        <f t="shared" si="28"/>
        <v>20.405999999999999</v>
      </c>
      <c r="J67" s="47"/>
      <c r="K67" s="47"/>
      <c r="L67" s="47"/>
      <c r="M67" s="47"/>
      <c r="N67" s="84">
        <v>0.95</v>
      </c>
    </row>
    <row r="68" spans="1:14" x14ac:dyDescent="0.2">
      <c r="A68" s="96" t="s">
        <v>769</v>
      </c>
      <c r="B68" s="62">
        <f t="shared" si="31"/>
        <v>8.8536000000000001</v>
      </c>
      <c r="C68" s="63">
        <v>0.84</v>
      </c>
      <c r="D68" s="62"/>
      <c r="E68" s="61">
        <v>2000</v>
      </c>
      <c r="F68" s="61"/>
      <c r="G68" s="64"/>
      <c r="H68" s="65">
        <f t="shared" si="27"/>
        <v>23.014399999999998</v>
      </c>
      <c r="I68" s="65">
        <f t="shared" si="28"/>
        <v>26.635200000000005</v>
      </c>
      <c r="J68" s="47"/>
      <c r="K68" s="47"/>
      <c r="L68" s="47"/>
      <c r="M68" s="47"/>
      <c r="N68" s="84">
        <v>0.93</v>
      </c>
    </row>
    <row r="69" spans="1:14" x14ac:dyDescent="0.2">
      <c r="A69" s="96" t="s">
        <v>770</v>
      </c>
      <c r="B69" s="62">
        <f t="shared" si="31"/>
        <v>9.9603000000000002</v>
      </c>
      <c r="C69" s="63">
        <v>0.84</v>
      </c>
      <c r="D69" s="62"/>
      <c r="E69" s="61">
        <v>2250</v>
      </c>
      <c r="F69" s="61"/>
      <c r="G69" s="64"/>
      <c r="H69" s="65">
        <f t="shared" si="27"/>
        <v>25.891199999999998</v>
      </c>
      <c r="I69" s="65">
        <f t="shared" si="28"/>
        <v>29.964600000000004</v>
      </c>
      <c r="J69" s="47"/>
      <c r="K69" s="47"/>
      <c r="L69" s="47"/>
      <c r="M69" s="47"/>
      <c r="N69" s="84">
        <v>0.93</v>
      </c>
    </row>
    <row r="70" spans="1:14" x14ac:dyDescent="0.2">
      <c r="A70" s="96" t="s">
        <v>771</v>
      </c>
      <c r="B70" s="62">
        <f t="shared" si="31"/>
        <v>12.851999999999999</v>
      </c>
      <c r="C70" s="63">
        <v>0.84</v>
      </c>
      <c r="D70" s="62"/>
      <c r="E70" s="61">
        <v>3000</v>
      </c>
      <c r="F70" s="61"/>
      <c r="G70" s="64"/>
      <c r="H70" s="65">
        <f t="shared" si="27"/>
        <v>33.407999999999994</v>
      </c>
      <c r="I70" s="65">
        <f t="shared" si="28"/>
        <v>38.664000000000009</v>
      </c>
      <c r="J70" s="47"/>
      <c r="K70" s="47"/>
      <c r="L70" s="47"/>
      <c r="M70" s="47"/>
      <c r="N70" s="84">
        <v>0.9</v>
      </c>
    </row>
    <row r="71" spans="1:14" x14ac:dyDescent="0.2">
      <c r="A71" s="96" t="s">
        <v>772</v>
      </c>
      <c r="B71" s="62">
        <f t="shared" si="31"/>
        <v>17.135999999999999</v>
      </c>
      <c r="C71" s="63">
        <v>0.84</v>
      </c>
      <c r="D71" s="62"/>
      <c r="E71" s="61">
        <v>4000</v>
      </c>
      <c r="F71" s="61"/>
      <c r="G71" s="64"/>
      <c r="H71" s="65">
        <f t="shared" si="27"/>
        <v>44.54399999999999</v>
      </c>
      <c r="I71" s="65">
        <f t="shared" si="28"/>
        <v>51.552000000000007</v>
      </c>
      <c r="J71" s="47"/>
      <c r="K71" s="47"/>
      <c r="L71" s="47"/>
      <c r="M71" s="47"/>
      <c r="N71" s="84">
        <v>0.9</v>
      </c>
    </row>
    <row r="72" spans="1:14" x14ac:dyDescent="0.2">
      <c r="A72" s="96" t="s">
        <v>773</v>
      </c>
      <c r="B72" s="62">
        <f t="shared" si="31"/>
        <v>19.277999999999999</v>
      </c>
      <c r="C72" s="63">
        <v>0.84</v>
      </c>
      <c r="D72" s="62"/>
      <c r="E72" s="61">
        <v>4500</v>
      </c>
      <c r="F72" s="61"/>
      <c r="G72" s="64"/>
      <c r="H72" s="65">
        <f t="shared" si="27"/>
        <v>50.111999999999995</v>
      </c>
      <c r="I72" s="65">
        <f t="shared" si="28"/>
        <v>57.996000000000009</v>
      </c>
      <c r="J72" s="47"/>
      <c r="K72" s="47"/>
      <c r="L72" s="47"/>
      <c r="M72" s="47"/>
      <c r="N72" s="84">
        <v>0.9</v>
      </c>
    </row>
    <row r="73" spans="1:14" x14ac:dyDescent="0.2">
      <c r="A73" s="96" t="s">
        <v>774</v>
      </c>
      <c r="B73" s="62">
        <f t="shared" si="31"/>
        <v>21.419999999999998</v>
      </c>
      <c r="C73" s="63">
        <v>0.84</v>
      </c>
      <c r="D73" s="62"/>
      <c r="E73" s="61">
        <v>5000</v>
      </c>
      <c r="F73" s="61"/>
      <c r="G73" s="64"/>
      <c r="H73" s="65">
        <f t="shared" si="27"/>
        <v>55.679999999999993</v>
      </c>
      <c r="I73" s="65">
        <f t="shared" si="28"/>
        <v>64.440000000000012</v>
      </c>
      <c r="J73" s="47"/>
      <c r="K73" s="47"/>
      <c r="L73" s="47"/>
      <c r="M73" s="47"/>
      <c r="N73" s="84">
        <v>0.9</v>
      </c>
    </row>
    <row r="74" spans="1:14" x14ac:dyDescent="0.2">
      <c r="A74" s="96" t="s">
        <v>775</v>
      </c>
      <c r="B74" s="62">
        <f t="shared" si="31"/>
        <v>25.703999999999997</v>
      </c>
      <c r="C74" s="63">
        <v>0.84</v>
      </c>
      <c r="D74" s="62"/>
      <c r="E74" s="61">
        <v>6000</v>
      </c>
      <c r="F74" s="61"/>
      <c r="G74" s="64"/>
      <c r="H74" s="65">
        <f t="shared" si="27"/>
        <v>66.815999999999988</v>
      </c>
      <c r="I74" s="65">
        <f t="shared" si="28"/>
        <v>77.328000000000017</v>
      </c>
      <c r="J74" s="47"/>
      <c r="K74" s="47"/>
      <c r="L74" s="47"/>
      <c r="M74" s="47"/>
      <c r="N74" s="84">
        <v>0.9</v>
      </c>
    </row>
    <row r="75" spans="1:14" x14ac:dyDescent="0.2">
      <c r="A75" s="96" t="s">
        <v>776</v>
      </c>
      <c r="B75" s="62">
        <f t="shared" si="31"/>
        <v>28.916999999999998</v>
      </c>
      <c r="C75" s="63">
        <v>0.84</v>
      </c>
      <c r="D75" s="62"/>
      <c r="E75" s="61">
        <v>6750</v>
      </c>
      <c r="F75" s="61"/>
      <c r="G75" s="64"/>
      <c r="H75" s="65">
        <f t="shared" si="27"/>
        <v>75.167999999999992</v>
      </c>
      <c r="I75" s="65">
        <f t="shared" si="28"/>
        <v>86.994000000000014</v>
      </c>
      <c r="J75" s="47"/>
      <c r="K75" s="47"/>
      <c r="L75" s="47"/>
      <c r="M75" s="47"/>
      <c r="N75" s="84">
        <v>0.9</v>
      </c>
    </row>
    <row r="76" spans="1:14" x14ac:dyDescent="0.2">
      <c r="A76" s="96" t="s">
        <v>777</v>
      </c>
      <c r="B76" s="62">
        <f t="shared" si="31"/>
        <v>38.555999999999997</v>
      </c>
      <c r="C76" s="63">
        <v>0.84</v>
      </c>
      <c r="D76" s="62"/>
      <c r="E76" s="61">
        <v>9000</v>
      </c>
      <c r="F76" s="61"/>
      <c r="G76" s="64"/>
      <c r="H76" s="65">
        <f t="shared" si="27"/>
        <v>100.22399999999999</v>
      </c>
      <c r="I76" s="65">
        <f t="shared" si="28"/>
        <v>115.99200000000002</v>
      </c>
      <c r="J76" s="47"/>
      <c r="K76" s="47"/>
      <c r="L76" s="47"/>
      <c r="M76" s="47"/>
      <c r="N76" s="84">
        <v>0.9</v>
      </c>
    </row>
    <row r="77" spans="1:14" x14ac:dyDescent="0.2">
      <c r="A77" s="96" t="s">
        <v>778</v>
      </c>
      <c r="B77" s="62">
        <f t="shared" si="31"/>
        <v>68.543999999999997</v>
      </c>
      <c r="C77" s="63">
        <v>0.84</v>
      </c>
      <c r="D77" s="62"/>
      <c r="E77" s="61">
        <v>16000</v>
      </c>
      <c r="F77" s="61"/>
      <c r="G77" s="64"/>
      <c r="H77" s="65">
        <f t="shared" si="27"/>
        <v>178.17599999999996</v>
      </c>
      <c r="I77" s="65">
        <f t="shared" si="28"/>
        <v>206.20800000000003</v>
      </c>
      <c r="J77" s="47"/>
      <c r="K77" s="47"/>
      <c r="L77" s="47"/>
      <c r="M77" s="47"/>
      <c r="N77" s="84">
        <v>0.9</v>
      </c>
    </row>
    <row r="78" spans="1:14" x14ac:dyDescent="0.2">
      <c r="A78" s="96" t="s">
        <v>779</v>
      </c>
      <c r="B78" s="62">
        <f t="shared" si="31"/>
        <v>77.111999999999995</v>
      </c>
      <c r="C78" s="63">
        <v>0.84</v>
      </c>
      <c r="D78" s="62"/>
      <c r="E78" s="61">
        <v>18000</v>
      </c>
      <c r="F78" s="61"/>
      <c r="G78" s="64"/>
      <c r="H78" s="65">
        <f t="shared" si="27"/>
        <v>200.44799999999998</v>
      </c>
      <c r="I78" s="65">
        <f t="shared" si="28"/>
        <v>231.98400000000004</v>
      </c>
      <c r="J78" s="47"/>
      <c r="K78" s="47"/>
      <c r="L78" s="47"/>
      <c r="M78" s="47"/>
      <c r="N78" s="84">
        <v>0.9</v>
      </c>
    </row>
    <row r="79" spans="1:14" x14ac:dyDescent="0.2">
      <c r="A79" s="96" t="s">
        <v>780</v>
      </c>
      <c r="B79" s="62">
        <f t="shared" si="31"/>
        <v>85.679999999999993</v>
      </c>
      <c r="C79" s="63">
        <v>0.84</v>
      </c>
      <c r="D79" s="62"/>
      <c r="E79" s="61">
        <v>20000</v>
      </c>
      <c r="F79" s="61"/>
      <c r="G79" s="64"/>
      <c r="H79" s="65">
        <f t="shared" si="27"/>
        <v>222.71999999999997</v>
      </c>
      <c r="I79" s="65">
        <f t="shared" si="28"/>
        <v>257.76000000000005</v>
      </c>
      <c r="J79" s="47"/>
      <c r="K79" s="47"/>
      <c r="L79" s="47"/>
      <c r="M79" s="47"/>
      <c r="N79" s="84">
        <v>0.9</v>
      </c>
    </row>
    <row r="80" spans="1:14" x14ac:dyDescent="0.2">
      <c r="A80" s="72" t="s">
        <v>457</v>
      </c>
      <c r="B80" s="72">
        <v>6.55</v>
      </c>
      <c r="C80" s="73">
        <v>0</v>
      </c>
      <c r="D80" s="72"/>
      <c r="E80" s="72"/>
      <c r="F80" s="72"/>
      <c r="G80" s="72"/>
      <c r="H80" s="72"/>
      <c r="I80" s="72"/>
      <c r="J80" s="72"/>
      <c r="K80" s="72"/>
      <c r="L80" s="72"/>
      <c r="M80" s="72"/>
    </row>
    <row r="81" spans="1:14" x14ac:dyDescent="0.2">
      <c r="A81" s="72" t="s">
        <v>458</v>
      </c>
      <c r="B81" s="74">
        <v>4.03</v>
      </c>
      <c r="C81" s="73">
        <v>0</v>
      </c>
      <c r="D81" s="74"/>
      <c r="E81" s="72"/>
      <c r="F81" s="72"/>
      <c r="G81" s="75"/>
      <c r="H81" s="76">
        <v>4.66</v>
      </c>
      <c r="I81" s="77">
        <v>5.44</v>
      </c>
      <c r="J81" s="77"/>
      <c r="K81" s="77"/>
      <c r="L81" s="77"/>
      <c r="M81" s="77"/>
    </row>
    <row r="82" spans="1:14" x14ac:dyDescent="0.2">
      <c r="A82" s="72" t="s">
        <v>459</v>
      </c>
      <c r="B82" s="74">
        <v>5.03</v>
      </c>
      <c r="C82" s="73">
        <v>0</v>
      </c>
      <c r="D82" s="74"/>
      <c r="E82" s="72"/>
      <c r="F82" s="72"/>
      <c r="G82" s="75"/>
      <c r="H82" s="76">
        <v>4.66</v>
      </c>
      <c r="I82" s="77">
        <v>5.44</v>
      </c>
      <c r="J82" s="77"/>
      <c r="K82" s="77"/>
      <c r="L82" s="77"/>
      <c r="M82" s="77"/>
    </row>
    <row r="83" spans="1:14" x14ac:dyDescent="0.2">
      <c r="A83" s="72" t="s">
        <v>460</v>
      </c>
      <c r="B83" s="74">
        <v>4.43</v>
      </c>
      <c r="C83" s="73">
        <v>0</v>
      </c>
      <c r="D83" s="74"/>
      <c r="E83" s="72"/>
      <c r="F83" s="72"/>
      <c r="G83" s="75"/>
      <c r="H83" s="76">
        <v>8.52</v>
      </c>
      <c r="I83" s="77">
        <v>9.9</v>
      </c>
      <c r="J83" s="77"/>
      <c r="K83" s="77"/>
      <c r="L83" s="77"/>
      <c r="M83" s="77"/>
    </row>
    <row r="84" spans="1:14" x14ac:dyDescent="0.2">
      <c r="A84" s="72" t="s">
        <v>461</v>
      </c>
      <c r="B84" s="74">
        <v>4.53</v>
      </c>
      <c r="C84" s="73">
        <v>0</v>
      </c>
      <c r="D84" s="74"/>
      <c r="E84" s="72"/>
      <c r="F84" s="72"/>
      <c r="G84" s="75"/>
      <c r="H84" s="76">
        <v>8.52</v>
      </c>
      <c r="I84" s="77">
        <v>9.9</v>
      </c>
      <c r="J84" s="77"/>
      <c r="K84" s="77"/>
      <c r="L84" s="77"/>
      <c r="M84" s="77"/>
    </row>
    <row r="85" spans="1:14" x14ac:dyDescent="0.2">
      <c r="A85" s="72" t="s">
        <v>462</v>
      </c>
      <c r="B85" s="74">
        <v>4.82</v>
      </c>
      <c r="C85" s="73">
        <v>0</v>
      </c>
      <c r="D85" s="74"/>
      <c r="E85" s="72"/>
      <c r="F85" s="72"/>
      <c r="G85" s="75"/>
      <c r="H85" s="76"/>
      <c r="I85" s="77"/>
      <c r="J85" s="77"/>
      <c r="K85" s="77"/>
      <c r="L85" s="77"/>
      <c r="M85" s="77"/>
    </row>
    <row r="86" spans="1:14" x14ac:dyDescent="0.2">
      <c r="A86" s="72" t="s">
        <v>463</v>
      </c>
      <c r="B86" s="74">
        <v>3.81</v>
      </c>
      <c r="C86" s="73">
        <v>0</v>
      </c>
      <c r="D86" s="74"/>
      <c r="E86" s="72"/>
      <c r="F86" s="72"/>
      <c r="G86" s="75"/>
      <c r="H86" s="76"/>
      <c r="I86" s="77"/>
      <c r="J86" s="77"/>
      <c r="K86" s="77"/>
      <c r="L86" s="77"/>
      <c r="M86" s="77"/>
    </row>
    <row r="87" spans="1:14" x14ac:dyDescent="0.2">
      <c r="A87" s="72" t="s">
        <v>464</v>
      </c>
      <c r="B87" s="74">
        <v>4.3099999999999996</v>
      </c>
      <c r="C87" s="73">
        <v>0</v>
      </c>
      <c r="D87" s="74"/>
      <c r="E87" s="72"/>
      <c r="F87" s="72"/>
      <c r="G87" s="75"/>
      <c r="H87" s="76"/>
      <c r="I87" s="77"/>
      <c r="J87" s="77"/>
      <c r="K87" s="77"/>
      <c r="L87" s="77"/>
      <c r="M87" s="77"/>
    </row>
    <row r="88" spans="1:14" x14ac:dyDescent="0.2">
      <c r="A88" s="72" t="s">
        <v>465</v>
      </c>
      <c r="B88" s="74">
        <v>4.18</v>
      </c>
      <c r="C88" s="73">
        <v>0</v>
      </c>
      <c r="D88" s="74"/>
      <c r="E88" s="72"/>
      <c r="F88" s="72"/>
      <c r="G88" s="75"/>
      <c r="H88" s="76"/>
      <c r="I88" s="77"/>
      <c r="J88" s="77"/>
      <c r="K88" s="77"/>
      <c r="L88" s="77"/>
      <c r="M88" s="77"/>
    </row>
    <row r="89" spans="1:14" x14ac:dyDescent="0.2">
      <c r="A89" s="72" t="s">
        <v>466</v>
      </c>
      <c r="B89" s="74">
        <v>6.57</v>
      </c>
      <c r="C89" s="73">
        <v>0</v>
      </c>
      <c r="D89" s="74"/>
      <c r="E89" s="72"/>
      <c r="F89" s="72"/>
      <c r="G89" s="75"/>
      <c r="H89" s="76"/>
      <c r="I89" s="77"/>
      <c r="J89" s="77"/>
      <c r="K89" s="77"/>
      <c r="L89" s="77"/>
      <c r="M89" s="77"/>
    </row>
    <row r="90" spans="1:14" x14ac:dyDescent="0.2">
      <c r="A90" s="72" t="s">
        <v>467</v>
      </c>
      <c r="B90" s="74">
        <v>7.32</v>
      </c>
      <c r="C90" s="73">
        <v>0</v>
      </c>
      <c r="D90" s="74"/>
      <c r="E90" s="72"/>
      <c r="F90" s="72"/>
      <c r="G90" s="75"/>
      <c r="H90" s="76"/>
      <c r="I90" s="77"/>
      <c r="J90" s="77"/>
      <c r="K90" s="77"/>
      <c r="L90" s="77"/>
      <c r="M90" s="77"/>
    </row>
    <row r="91" spans="1:14" x14ac:dyDescent="0.2">
      <c r="A91" s="61" t="s">
        <v>801</v>
      </c>
      <c r="B91" s="62">
        <f t="shared" ref="B91:B116" si="32">+($B$271/750)*N91*E91</f>
        <v>0.13733333333333334</v>
      </c>
      <c r="C91" s="63">
        <v>0.72</v>
      </c>
      <c r="D91" s="62"/>
      <c r="E91" s="61">
        <v>50</v>
      </c>
      <c r="F91" s="61"/>
      <c r="G91" s="64"/>
      <c r="H91" s="65">
        <f t="shared" ref="H91:H114" si="33">(($H$271/$E$271*N91)*E91)</f>
        <v>0.34466666666666662</v>
      </c>
      <c r="I91" s="65">
        <f t="shared" ref="I91:I114" si="34">(($I$271/$E$271)*N91)*E91</f>
        <v>0.42799999999999999</v>
      </c>
      <c r="J91" s="47"/>
      <c r="K91" s="47"/>
      <c r="L91" s="47">
        <v>6.34</v>
      </c>
      <c r="M91" s="47">
        <v>7.91</v>
      </c>
      <c r="N91" s="84">
        <v>1</v>
      </c>
    </row>
    <row r="92" spans="1:14" x14ac:dyDescent="0.2">
      <c r="A92" s="61" t="s">
        <v>812</v>
      </c>
      <c r="B92" s="62">
        <f t="shared" si="32"/>
        <v>0.90640000000000009</v>
      </c>
      <c r="C92" s="63">
        <v>0.72</v>
      </c>
      <c r="D92" s="62"/>
      <c r="E92" s="61">
        <v>330</v>
      </c>
      <c r="F92" s="61"/>
      <c r="G92" s="64"/>
      <c r="H92" s="65">
        <f t="shared" si="33"/>
        <v>2.2747999999999999</v>
      </c>
      <c r="I92" s="65">
        <f t="shared" si="34"/>
        <v>2.8247999999999998</v>
      </c>
      <c r="J92" s="47"/>
      <c r="K92" s="47"/>
      <c r="L92" s="47">
        <v>6.34</v>
      </c>
      <c r="M92" s="47">
        <v>7.91</v>
      </c>
      <c r="N92" s="84">
        <v>1</v>
      </c>
    </row>
    <row r="93" spans="1:14" x14ac:dyDescent="0.2">
      <c r="A93" s="61" t="s">
        <v>800</v>
      </c>
      <c r="B93" s="62">
        <f t="shared" si="32"/>
        <v>0.93661333333333341</v>
      </c>
      <c r="C93" s="63">
        <v>0.72</v>
      </c>
      <c r="D93" s="62"/>
      <c r="E93" s="61">
        <v>341</v>
      </c>
      <c r="F93" s="61"/>
      <c r="G93" s="64"/>
      <c r="H93" s="65">
        <f t="shared" si="33"/>
        <v>2.3506266666666664</v>
      </c>
      <c r="I93" s="65">
        <f t="shared" si="34"/>
        <v>2.9189599999999998</v>
      </c>
      <c r="J93" s="47"/>
      <c r="K93" s="47"/>
      <c r="L93" s="47">
        <v>6.34</v>
      </c>
      <c r="M93" s="47">
        <v>7.91</v>
      </c>
      <c r="N93" s="84">
        <v>1</v>
      </c>
    </row>
    <row r="94" spans="1:14" x14ac:dyDescent="0.2">
      <c r="A94" s="61" t="s">
        <v>799</v>
      </c>
      <c r="B94" s="62">
        <f t="shared" si="32"/>
        <v>0.97506666666666675</v>
      </c>
      <c r="C94" s="63">
        <v>0.72</v>
      </c>
      <c r="D94" s="62"/>
      <c r="E94" s="61">
        <v>355</v>
      </c>
      <c r="F94" s="61"/>
      <c r="G94" s="64"/>
      <c r="H94" s="65">
        <f t="shared" si="33"/>
        <v>2.4471333333333334</v>
      </c>
      <c r="I94" s="65">
        <f t="shared" si="34"/>
        <v>3.0388000000000002</v>
      </c>
      <c r="J94" s="47"/>
      <c r="K94" s="47"/>
      <c r="L94" s="47">
        <v>6.34</v>
      </c>
      <c r="M94" s="47">
        <v>7.91</v>
      </c>
      <c r="N94" s="84">
        <v>1</v>
      </c>
    </row>
    <row r="95" spans="1:14" x14ac:dyDescent="0.2">
      <c r="A95" s="61" t="s">
        <v>798</v>
      </c>
      <c r="B95" s="62">
        <f t="shared" si="32"/>
        <v>1.03</v>
      </c>
      <c r="C95" s="63">
        <v>0.72</v>
      </c>
      <c r="D95" s="62"/>
      <c r="E95" s="61">
        <v>375</v>
      </c>
      <c r="F95" s="61"/>
      <c r="G95" s="64"/>
      <c r="H95" s="65">
        <f t="shared" si="33"/>
        <v>2.585</v>
      </c>
      <c r="I95" s="65">
        <f t="shared" si="34"/>
        <v>3.21</v>
      </c>
      <c r="J95" s="47"/>
      <c r="K95" s="47"/>
      <c r="L95" s="47">
        <v>6.34</v>
      </c>
      <c r="M95" s="47">
        <v>7.91</v>
      </c>
      <c r="N95" s="84">
        <v>1</v>
      </c>
    </row>
    <row r="96" spans="1:14" x14ac:dyDescent="0.2">
      <c r="A96" s="61" t="s">
        <v>818</v>
      </c>
      <c r="B96" s="62">
        <f t="shared" si="32"/>
        <v>1.2085333333333335</v>
      </c>
      <c r="C96" s="63">
        <v>0.72</v>
      </c>
      <c r="D96" s="62"/>
      <c r="E96" s="61">
        <v>440</v>
      </c>
      <c r="F96" s="61"/>
      <c r="G96" s="64"/>
      <c r="H96" s="65">
        <f t="shared" si="33"/>
        <v>3.0330666666666666</v>
      </c>
      <c r="I96" s="65">
        <f t="shared" si="34"/>
        <v>3.7664</v>
      </c>
      <c r="J96" s="47"/>
      <c r="K96" s="47"/>
      <c r="L96" s="47">
        <v>6.34</v>
      </c>
      <c r="M96" s="47">
        <v>7.91</v>
      </c>
      <c r="N96" s="84">
        <v>1</v>
      </c>
    </row>
    <row r="97" spans="1:14" x14ac:dyDescent="0.2">
      <c r="A97" s="61" t="s">
        <v>797</v>
      </c>
      <c r="B97" s="62">
        <f t="shared" si="32"/>
        <v>1.2991733333333333</v>
      </c>
      <c r="C97" s="63">
        <v>0.72</v>
      </c>
      <c r="D97" s="62"/>
      <c r="E97" s="61">
        <v>473</v>
      </c>
      <c r="F97" s="61"/>
      <c r="G97" s="64"/>
      <c r="H97" s="65">
        <f t="shared" si="33"/>
        <v>3.2605466666666665</v>
      </c>
      <c r="I97" s="65">
        <f t="shared" si="34"/>
        <v>4.0488799999999996</v>
      </c>
      <c r="J97" s="47"/>
      <c r="K97" s="47"/>
      <c r="L97" s="47">
        <v>6.34</v>
      </c>
      <c r="M97" s="47">
        <v>7.91</v>
      </c>
      <c r="N97" s="84">
        <v>1</v>
      </c>
    </row>
    <row r="98" spans="1:14" x14ac:dyDescent="0.2">
      <c r="A98" s="61" t="s">
        <v>796</v>
      </c>
      <c r="B98" s="62">
        <f t="shared" si="32"/>
        <v>1.3733333333333333</v>
      </c>
      <c r="C98" s="63">
        <v>0.72</v>
      </c>
      <c r="D98" s="62"/>
      <c r="E98" s="61">
        <v>500</v>
      </c>
      <c r="F98" s="61"/>
      <c r="G98" s="64"/>
      <c r="H98" s="65">
        <f t="shared" si="33"/>
        <v>3.4466666666666663</v>
      </c>
      <c r="I98" s="65">
        <f t="shared" si="34"/>
        <v>4.28</v>
      </c>
      <c r="J98" s="47"/>
      <c r="K98" s="47"/>
      <c r="L98" s="47">
        <v>6.34</v>
      </c>
      <c r="M98" s="47">
        <v>7.91</v>
      </c>
      <c r="N98" s="84">
        <v>1</v>
      </c>
    </row>
    <row r="99" spans="1:14" x14ac:dyDescent="0.2">
      <c r="A99" s="61" t="s">
        <v>802</v>
      </c>
      <c r="B99" s="62">
        <f t="shared" si="32"/>
        <v>1.5601066666666668</v>
      </c>
      <c r="C99" s="63">
        <v>0.72</v>
      </c>
      <c r="D99" s="62"/>
      <c r="E99" s="61">
        <v>568</v>
      </c>
      <c r="F99" s="61"/>
      <c r="G99" s="64"/>
      <c r="H99" s="65">
        <f t="shared" si="33"/>
        <v>3.915413333333333</v>
      </c>
      <c r="I99" s="65">
        <f t="shared" si="34"/>
        <v>4.8620799999999997</v>
      </c>
      <c r="J99" s="47"/>
      <c r="K99" s="47"/>
      <c r="L99" s="47">
        <v>6.34</v>
      </c>
      <c r="M99" s="47">
        <v>7.91</v>
      </c>
      <c r="N99" s="84">
        <v>1</v>
      </c>
    </row>
    <row r="100" spans="1:14" x14ac:dyDescent="0.2">
      <c r="A100" s="61" t="s">
        <v>1052</v>
      </c>
      <c r="B100" s="62">
        <f t="shared" ref="B100" si="35">+($B$271/750)*N100*E100</f>
        <v>2.06</v>
      </c>
      <c r="C100" s="63">
        <v>0.72</v>
      </c>
      <c r="D100" s="62"/>
      <c r="E100" s="61">
        <v>750</v>
      </c>
      <c r="F100" s="61"/>
      <c r="G100" s="64"/>
      <c r="H100" s="65">
        <f t="shared" ref="H100" si="36">(($H$271/$E$271*N100)*E100)</f>
        <v>5.17</v>
      </c>
      <c r="I100" s="65">
        <f t="shared" ref="I100" si="37">(($I$271/$E$271)*N100)*E100</f>
        <v>6.42</v>
      </c>
      <c r="J100" s="47"/>
      <c r="K100" s="47"/>
      <c r="L100" s="47">
        <v>6.34</v>
      </c>
      <c r="M100" s="47">
        <v>7.91</v>
      </c>
      <c r="N100" s="84">
        <v>1</v>
      </c>
    </row>
    <row r="101" spans="1:14" x14ac:dyDescent="0.2">
      <c r="A101" s="61" t="s">
        <v>803</v>
      </c>
      <c r="B101" s="62">
        <f t="shared" si="32"/>
        <v>3.0213333333333336</v>
      </c>
      <c r="C101" s="63">
        <v>0.72</v>
      </c>
      <c r="D101" s="62"/>
      <c r="E101" s="61">
        <v>1100</v>
      </c>
      <c r="F101" s="61"/>
      <c r="G101" s="64"/>
      <c r="H101" s="65">
        <f t="shared" si="33"/>
        <v>7.5826666666666664</v>
      </c>
      <c r="I101" s="65">
        <f t="shared" si="34"/>
        <v>9.4160000000000004</v>
      </c>
      <c r="J101" s="47"/>
      <c r="K101" s="47"/>
      <c r="L101" s="47">
        <v>6.34</v>
      </c>
      <c r="M101" s="47">
        <v>7.91</v>
      </c>
      <c r="N101" s="84">
        <v>1</v>
      </c>
    </row>
    <row r="102" spans="1:14" x14ac:dyDescent="0.2">
      <c r="A102" s="61" t="s">
        <v>804</v>
      </c>
      <c r="B102" s="62">
        <f t="shared" si="32"/>
        <v>3.6256000000000004</v>
      </c>
      <c r="C102" s="63">
        <v>0.72</v>
      </c>
      <c r="D102" s="62"/>
      <c r="E102" s="61">
        <v>1320</v>
      </c>
      <c r="F102" s="61"/>
      <c r="G102" s="64"/>
      <c r="H102" s="65">
        <f t="shared" si="33"/>
        <v>9.0991999999999997</v>
      </c>
      <c r="I102" s="65">
        <f t="shared" si="34"/>
        <v>11.299199999999999</v>
      </c>
      <c r="J102" s="47"/>
      <c r="K102" s="47"/>
      <c r="L102" s="47">
        <v>6.34</v>
      </c>
      <c r="M102" s="47">
        <v>7.91</v>
      </c>
      <c r="N102" s="84">
        <v>1</v>
      </c>
    </row>
    <row r="103" spans="1:14" x14ac:dyDescent="0.2">
      <c r="A103" s="61" t="s">
        <v>805</v>
      </c>
      <c r="B103" s="62">
        <f t="shared" si="32"/>
        <v>3.7464533333333336</v>
      </c>
      <c r="C103" s="63">
        <v>0.72</v>
      </c>
      <c r="D103" s="62"/>
      <c r="E103" s="61">
        <v>1364</v>
      </c>
      <c r="F103" s="61"/>
      <c r="G103" s="64"/>
      <c r="H103" s="65">
        <f t="shared" si="33"/>
        <v>9.4025066666666657</v>
      </c>
      <c r="I103" s="65">
        <f t="shared" si="34"/>
        <v>11.675839999999999</v>
      </c>
      <c r="J103" s="47"/>
      <c r="K103" s="47"/>
      <c r="L103" s="47">
        <v>6.34</v>
      </c>
      <c r="M103" s="47">
        <v>7.91</v>
      </c>
      <c r="N103" s="84">
        <v>1</v>
      </c>
    </row>
    <row r="104" spans="1:14" x14ac:dyDescent="0.2">
      <c r="A104" s="61" t="s">
        <v>816</v>
      </c>
      <c r="B104" s="62">
        <f t="shared" si="32"/>
        <v>3.900266666666667</v>
      </c>
      <c r="C104" s="63">
        <v>0.72</v>
      </c>
      <c r="D104" s="62"/>
      <c r="E104" s="61">
        <v>1420</v>
      </c>
      <c r="F104" s="61"/>
      <c r="G104" s="64"/>
      <c r="H104" s="65">
        <f t="shared" si="33"/>
        <v>9.7885333333333335</v>
      </c>
      <c r="I104" s="65">
        <f t="shared" si="34"/>
        <v>12.155200000000001</v>
      </c>
      <c r="J104" s="47"/>
      <c r="K104" s="47"/>
      <c r="L104" s="47">
        <v>6.34</v>
      </c>
      <c r="M104" s="47">
        <v>7.53</v>
      </c>
      <c r="N104" s="84">
        <v>1</v>
      </c>
    </row>
    <row r="105" spans="1:14" x14ac:dyDescent="0.2">
      <c r="A105" s="61" t="s">
        <v>819</v>
      </c>
      <c r="B105" s="62">
        <f t="shared" si="32"/>
        <v>4.8341333333333338</v>
      </c>
      <c r="C105" s="63">
        <v>0.72</v>
      </c>
      <c r="D105" s="62"/>
      <c r="E105" s="61">
        <v>1760</v>
      </c>
      <c r="F105" s="61"/>
      <c r="G105" s="64"/>
      <c r="H105" s="65">
        <f t="shared" si="33"/>
        <v>12.132266666666666</v>
      </c>
      <c r="I105" s="65">
        <f t="shared" si="34"/>
        <v>15.0656</v>
      </c>
      <c r="J105" s="47"/>
      <c r="K105" s="47"/>
      <c r="L105" s="47">
        <v>6.34</v>
      </c>
      <c r="M105" s="47">
        <v>7.53</v>
      </c>
      <c r="N105" s="84">
        <v>1</v>
      </c>
    </row>
    <row r="106" spans="1:14" x14ac:dyDescent="0.2">
      <c r="A106" s="61" t="s">
        <v>806</v>
      </c>
      <c r="B106" s="62">
        <f t="shared" si="32"/>
        <v>5.4384000000000006</v>
      </c>
      <c r="C106" s="63">
        <v>0.72</v>
      </c>
      <c r="D106" s="62"/>
      <c r="E106" s="61">
        <v>1980</v>
      </c>
      <c r="F106" s="61"/>
      <c r="G106" s="64"/>
      <c r="H106" s="65">
        <f t="shared" si="33"/>
        <v>13.6488</v>
      </c>
      <c r="I106" s="65">
        <f t="shared" si="34"/>
        <v>16.948799999999999</v>
      </c>
      <c r="J106" s="47"/>
      <c r="K106" s="47"/>
      <c r="L106" s="47">
        <v>6.34</v>
      </c>
      <c r="M106" s="47">
        <v>7.53</v>
      </c>
      <c r="N106" s="84">
        <v>1</v>
      </c>
    </row>
    <row r="107" spans="1:14" x14ac:dyDescent="0.2">
      <c r="A107" s="61" t="s">
        <v>1056</v>
      </c>
      <c r="B107" s="62">
        <f t="shared" ref="B107" si="38">+($B$271/750)*N107*E107</f>
        <v>5.4933333333333332</v>
      </c>
      <c r="C107" s="63">
        <v>0.72</v>
      </c>
      <c r="D107" s="62"/>
      <c r="E107" s="61">
        <v>2000</v>
      </c>
      <c r="F107" s="61"/>
      <c r="G107" s="64"/>
      <c r="H107" s="65">
        <f t="shared" ref="H107" si="39">(($H$271/$E$271*N107)*E107)</f>
        <v>13.786666666666665</v>
      </c>
      <c r="I107" s="65">
        <f t="shared" ref="I107" si="40">(($I$271/$E$271)*N107)*E107</f>
        <v>17.12</v>
      </c>
      <c r="J107" s="47"/>
      <c r="K107" s="47"/>
      <c r="L107" s="47">
        <v>6.34</v>
      </c>
      <c r="M107" s="47">
        <v>7.53</v>
      </c>
      <c r="N107" s="84">
        <v>1</v>
      </c>
    </row>
    <row r="108" spans="1:14" x14ac:dyDescent="0.2">
      <c r="A108" s="61" t="s">
        <v>817</v>
      </c>
      <c r="B108" s="62">
        <f t="shared" si="32"/>
        <v>5.6196800000000007</v>
      </c>
      <c r="C108" s="63">
        <v>0.72</v>
      </c>
      <c r="D108" s="62"/>
      <c r="E108" s="61">
        <v>2046</v>
      </c>
      <c r="F108" s="61"/>
      <c r="G108" s="64"/>
      <c r="H108" s="65">
        <f t="shared" si="33"/>
        <v>14.103759999999999</v>
      </c>
      <c r="I108" s="65">
        <f t="shared" si="34"/>
        <v>17.513760000000001</v>
      </c>
      <c r="J108" s="47"/>
      <c r="K108" s="47"/>
      <c r="L108" s="47">
        <v>6.34</v>
      </c>
      <c r="M108" s="47">
        <v>7.53</v>
      </c>
      <c r="N108" s="84">
        <v>1</v>
      </c>
    </row>
    <row r="109" spans="1:14" x14ac:dyDescent="0.2">
      <c r="A109" s="61" t="s">
        <v>807</v>
      </c>
      <c r="B109" s="62">
        <f t="shared" si="32"/>
        <v>5.8504000000000005</v>
      </c>
      <c r="C109" s="63">
        <v>0.72</v>
      </c>
      <c r="D109" s="62"/>
      <c r="E109" s="61">
        <v>2130</v>
      </c>
      <c r="F109" s="61"/>
      <c r="G109" s="64"/>
      <c r="H109" s="65">
        <f t="shared" si="33"/>
        <v>14.682799999999999</v>
      </c>
      <c r="I109" s="65">
        <f t="shared" si="34"/>
        <v>18.232800000000001</v>
      </c>
      <c r="J109" s="47"/>
      <c r="K109" s="47"/>
      <c r="L109" s="47">
        <v>6.34</v>
      </c>
      <c r="M109" s="47">
        <v>7.53</v>
      </c>
      <c r="N109" s="84">
        <v>1</v>
      </c>
    </row>
    <row r="110" spans="1:14" x14ac:dyDescent="0.2">
      <c r="A110" s="61" t="s">
        <v>820</v>
      </c>
      <c r="B110" s="62">
        <f t="shared" si="32"/>
        <v>7.2512000000000008</v>
      </c>
      <c r="C110" s="63">
        <v>0.72</v>
      </c>
      <c r="D110" s="62"/>
      <c r="E110" s="61">
        <v>2640</v>
      </c>
      <c r="F110" s="61"/>
      <c r="G110" s="64"/>
      <c r="H110" s="65">
        <f t="shared" si="33"/>
        <v>18.198399999999999</v>
      </c>
      <c r="I110" s="65">
        <f t="shared" si="34"/>
        <v>22.598399999999998</v>
      </c>
      <c r="J110" s="47"/>
      <c r="K110" s="47"/>
      <c r="L110" s="47">
        <v>6.34</v>
      </c>
      <c r="M110" s="47">
        <v>7.53</v>
      </c>
      <c r="N110" s="84">
        <v>1</v>
      </c>
    </row>
    <row r="111" spans="1:14" x14ac:dyDescent="0.2">
      <c r="A111" s="61" t="s">
        <v>821</v>
      </c>
      <c r="B111" s="62">
        <f t="shared" si="32"/>
        <v>7.4052879999999996</v>
      </c>
      <c r="C111" s="63">
        <v>0.72</v>
      </c>
      <c r="D111" s="62"/>
      <c r="E111" s="61">
        <v>2838</v>
      </c>
      <c r="F111" s="61"/>
      <c r="G111" s="64"/>
      <c r="H111" s="65">
        <f t="shared" si="33"/>
        <v>18.585115999999999</v>
      </c>
      <c r="I111" s="65">
        <f t="shared" si="34"/>
        <v>23.078616</v>
      </c>
      <c r="J111" s="47"/>
      <c r="K111" s="47"/>
      <c r="L111" s="47">
        <v>6.34</v>
      </c>
      <c r="M111" s="47">
        <v>7.53</v>
      </c>
      <c r="N111" s="84">
        <v>0.95</v>
      </c>
    </row>
    <row r="112" spans="1:14" x14ac:dyDescent="0.2">
      <c r="A112" s="61" t="s">
        <v>808</v>
      </c>
      <c r="B112" s="62">
        <f t="shared" si="32"/>
        <v>9.1848533333333329</v>
      </c>
      <c r="C112" s="63">
        <v>0.72</v>
      </c>
      <c r="D112" s="62"/>
      <c r="E112" s="61">
        <v>3520</v>
      </c>
      <c r="F112" s="61"/>
      <c r="G112" s="64"/>
      <c r="H112" s="65">
        <f t="shared" si="33"/>
        <v>23.051306666666665</v>
      </c>
      <c r="I112" s="65">
        <f t="shared" si="34"/>
        <v>28.624639999999999</v>
      </c>
      <c r="J112" s="47"/>
      <c r="K112" s="47"/>
      <c r="L112" s="47">
        <v>5.74</v>
      </c>
      <c r="M112" s="47">
        <v>6.83</v>
      </c>
      <c r="N112" s="84">
        <v>0.95</v>
      </c>
    </row>
    <row r="113" spans="1:14" x14ac:dyDescent="0.2">
      <c r="A113" s="61" t="s">
        <v>843</v>
      </c>
      <c r="B113" s="62">
        <f t="shared" si="32"/>
        <v>9.8880000000000017</v>
      </c>
      <c r="C113" s="63">
        <v>0.72</v>
      </c>
      <c r="D113" s="62"/>
      <c r="E113" s="61">
        <v>4000</v>
      </c>
      <c r="F113" s="61"/>
      <c r="G113" s="64"/>
      <c r="H113" s="65">
        <f t="shared" si="33"/>
        <v>24.815999999999999</v>
      </c>
      <c r="I113" s="65">
        <f t="shared" si="34"/>
        <v>30.815999999999999</v>
      </c>
      <c r="J113" s="47"/>
      <c r="K113" s="47"/>
      <c r="L113" s="47">
        <v>5.74</v>
      </c>
      <c r="M113" s="47">
        <v>6.83</v>
      </c>
      <c r="N113" s="84">
        <v>0.9</v>
      </c>
    </row>
    <row r="114" spans="1:14" x14ac:dyDescent="0.2">
      <c r="A114" s="61" t="s">
        <v>863</v>
      </c>
      <c r="B114" s="62">
        <f t="shared" si="32"/>
        <v>10.530720000000001</v>
      </c>
      <c r="C114" s="63">
        <v>0.72</v>
      </c>
      <c r="D114" s="62"/>
      <c r="E114" s="61">
        <v>4260</v>
      </c>
      <c r="F114" s="61"/>
      <c r="G114" s="64"/>
      <c r="H114" s="65">
        <f t="shared" si="33"/>
        <v>26.429039999999997</v>
      </c>
      <c r="I114" s="65">
        <f t="shared" si="34"/>
        <v>32.819040000000001</v>
      </c>
      <c r="J114" s="47"/>
      <c r="K114" s="47"/>
      <c r="L114" s="47">
        <v>5.74</v>
      </c>
      <c r="M114" s="47">
        <v>6.83</v>
      </c>
      <c r="N114" s="84">
        <v>0.9</v>
      </c>
    </row>
    <row r="115" spans="1:14" x14ac:dyDescent="0.2">
      <c r="A115" s="61" t="s">
        <v>468</v>
      </c>
      <c r="B115" s="62">
        <f t="shared" si="32"/>
        <v>3.3718080000000001</v>
      </c>
      <c r="C115" s="63">
        <v>0.38</v>
      </c>
      <c r="D115" s="62"/>
      <c r="E115" s="61">
        <v>1364</v>
      </c>
      <c r="F115" s="61"/>
      <c r="G115" s="64"/>
      <c r="H115" s="65">
        <f t="shared" ref="H115:H117" si="41">ROUND((L115/1000)*E115,2)</f>
        <v>7.83</v>
      </c>
      <c r="I115" s="65">
        <f t="shared" ref="I115:I116" si="42">ROUND((M115/1000)*E115,2)</f>
        <v>9.32</v>
      </c>
      <c r="J115" s="47"/>
      <c r="K115" s="47"/>
      <c r="L115" s="47">
        <v>5.74</v>
      </c>
      <c r="M115" s="47">
        <v>6.83</v>
      </c>
      <c r="N115" s="84">
        <v>0.9</v>
      </c>
    </row>
    <row r="116" spans="1:14" x14ac:dyDescent="0.2">
      <c r="A116" s="61" t="s">
        <v>469</v>
      </c>
      <c r="B116" s="62">
        <f t="shared" si="32"/>
        <v>5.1022080000000001</v>
      </c>
      <c r="C116" s="63">
        <v>0.38</v>
      </c>
      <c r="D116" s="62"/>
      <c r="E116" s="61">
        <v>2064</v>
      </c>
      <c r="F116" s="61"/>
      <c r="G116" s="64"/>
      <c r="H116" s="65">
        <f t="shared" si="41"/>
        <v>11.85</v>
      </c>
      <c r="I116" s="65">
        <f t="shared" si="42"/>
        <v>14.1</v>
      </c>
      <c r="J116" s="47"/>
      <c r="K116" s="47"/>
      <c r="L116" s="47">
        <v>5.74</v>
      </c>
      <c r="M116" s="47">
        <v>6.83</v>
      </c>
      <c r="N116" s="84">
        <v>0.9</v>
      </c>
    </row>
    <row r="117" spans="1:14" x14ac:dyDescent="0.2">
      <c r="A117" s="61" t="s">
        <v>892</v>
      </c>
      <c r="B117" s="62">
        <f>ROUND((+F117/1000)*E117,2)+ROUND((G117/1000)*E117,2)</f>
        <v>0.27</v>
      </c>
      <c r="C117" s="63">
        <v>0.38</v>
      </c>
      <c r="D117" s="62"/>
      <c r="E117" s="61">
        <v>250</v>
      </c>
      <c r="F117" s="61">
        <v>0.69899999999999995</v>
      </c>
      <c r="G117" s="64">
        <v>0.41799999999999998</v>
      </c>
      <c r="H117" s="65">
        <f t="shared" si="41"/>
        <v>1.52</v>
      </c>
      <c r="I117" s="47"/>
      <c r="J117" s="47"/>
      <c r="K117" s="47"/>
      <c r="L117" s="47">
        <v>6.08</v>
      </c>
      <c r="M117" s="47"/>
    </row>
    <row r="118" spans="1:14" x14ac:dyDescent="0.2">
      <c r="A118" s="61" t="s">
        <v>893</v>
      </c>
      <c r="B118" s="62">
        <f>ROUND((+F118/1000)*E118,2)+ROUND((G118/1000)*E118,2)</f>
        <v>0.37</v>
      </c>
      <c r="C118" s="63">
        <v>0.38</v>
      </c>
      <c r="D118" s="62"/>
      <c r="E118" s="61">
        <v>330</v>
      </c>
      <c r="F118" s="61">
        <v>0.69899999999999995</v>
      </c>
      <c r="G118" s="64">
        <v>0.41799999999999998</v>
      </c>
      <c r="H118" s="65">
        <f t="shared" ref="H118:H182" si="43">ROUND((L118/1000)*E118,2)</f>
        <v>2.0099999999999998</v>
      </c>
      <c r="I118" s="47"/>
      <c r="J118" s="47"/>
      <c r="K118" s="47"/>
      <c r="L118" s="47">
        <v>6.08</v>
      </c>
      <c r="M118" s="47"/>
    </row>
    <row r="119" spans="1:14" x14ac:dyDescent="0.2">
      <c r="A119" s="61" t="s">
        <v>894</v>
      </c>
      <c r="B119" s="62">
        <f>ROUND((+F119/1000)*E119,2)+ROUND((G119/1000)*E119,2)</f>
        <v>0.4</v>
      </c>
      <c r="C119" s="63">
        <v>0.38</v>
      </c>
      <c r="D119" s="62"/>
      <c r="E119" s="61">
        <v>355</v>
      </c>
      <c r="F119" s="61">
        <v>0.69899999999999995</v>
      </c>
      <c r="G119" s="64">
        <v>0.41799999999999998</v>
      </c>
      <c r="H119" s="65">
        <f>ROUND((L119/1000)*E119,2)</f>
        <v>2.16</v>
      </c>
      <c r="I119" s="47"/>
      <c r="J119" s="47"/>
      <c r="K119" s="47"/>
      <c r="L119" s="47">
        <v>6.08</v>
      </c>
      <c r="M119" s="47"/>
    </row>
    <row r="120" spans="1:14" x14ac:dyDescent="0.2">
      <c r="A120" s="61" t="s">
        <v>895</v>
      </c>
      <c r="B120" s="62">
        <f t="shared" ref="B120:B164" si="44">ROUND((+F120/1000)*E120,2)+ROUND((G120/1000)*E120,2)</f>
        <v>0.42000000000000004</v>
      </c>
      <c r="C120" s="63">
        <v>0.38</v>
      </c>
      <c r="D120" s="62"/>
      <c r="E120" s="61">
        <v>375</v>
      </c>
      <c r="F120" s="61">
        <v>0.69899999999999995</v>
      </c>
      <c r="G120" s="64">
        <v>0.41799999999999998</v>
      </c>
      <c r="H120" s="65">
        <f t="shared" si="43"/>
        <v>2.2799999999999998</v>
      </c>
      <c r="I120" s="47"/>
      <c r="J120" s="47"/>
      <c r="K120" s="47"/>
      <c r="L120" s="47">
        <v>6.08</v>
      </c>
      <c r="M120" s="47"/>
    </row>
    <row r="121" spans="1:14" x14ac:dyDescent="0.2">
      <c r="A121" s="61" t="s">
        <v>896</v>
      </c>
      <c r="B121" s="62">
        <f t="shared" ref="B121" si="45">ROUND((+F121/1000)*E121,2)+ROUND((G121/1000)*E121,2)</f>
        <v>0.49</v>
      </c>
      <c r="C121" s="63">
        <v>0.38</v>
      </c>
      <c r="D121" s="62"/>
      <c r="E121" s="61">
        <v>440</v>
      </c>
      <c r="F121" s="61">
        <v>0.69899999999999995</v>
      </c>
      <c r="G121" s="64">
        <v>0.41799999999999998</v>
      </c>
      <c r="H121" s="65">
        <f t="shared" ref="H121" si="46">ROUND((L121/1000)*E121,2)</f>
        <v>2.68</v>
      </c>
      <c r="I121" s="47"/>
      <c r="J121" s="47"/>
      <c r="K121" s="47"/>
      <c r="L121" s="47">
        <v>6.08</v>
      </c>
      <c r="M121" s="47"/>
    </row>
    <row r="122" spans="1:14" x14ac:dyDescent="0.2">
      <c r="A122" s="61" t="s">
        <v>897</v>
      </c>
      <c r="B122" s="62">
        <f>ROUND((+F122/1000)*E122,2)+ROUND((G122/1000)*E122,2)</f>
        <v>0.53</v>
      </c>
      <c r="C122" s="63">
        <v>0.38</v>
      </c>
      <c r="D122" s="62"/>
      <c r="E122" s="61">
        <v>473</v>
      </c>
      <c r="F122" s="61">
        <v>0.69899999999999995</v>
      </c>
      <c r="G122" s="64">
        <v>0.41799999999999998</v>
      </c>
      <c r="H122" s="65">
        <f t="shared" si="43"/>
        <v>2.88</v>
      </c>
      <c r="I122" s="47"/>
      <c r="J122" s="47"/>
      <c r="K122" s="47"/>
      <c r="L122" s="47">
        <v>6.08</v>
      </c>
      <c r="M122" s="47"/>
    </row>
    <row r="123" spans="1:14" x14ac:dyDescent="0.2">
      <c r="A123" s="61" t="s">
        <v>898</v>
      </c>
      <c r="B123" s="62">
        <f t="shared" si="44"/>
        <v>0.55999999999999994</v>
      </c>
      <c r="C123" s="63">
        <v>0.38</v>
      </c>
      <c r="D123" s="62"/>
      <c r="E123" s="61">
        <v>500</v>
      </c>
      <c r="F123" s="61">
        <v>0.69899999999999995</v>
      </c>
      <c r="G123" s="64">
        <v>0.41799999999999998</v>
      </c>
      <c r="H123" s="65">
        <f t="shared" si="43"/>
        <v>3.04</v>
      </c>
      <c r="I123" s="47"/>
      <c r="J123" s="47"/>
      <c r="K123" s="47"/>
      <c r="L123" s="47">
        <v>6.08</v>
      </c>
      <c r="M123" s="47"/>
    </row>
    <row r="124" spans="1:14" x14ac:dyDescent="0.2">
      <c r="A124" s="96" t="s">
        <v>899</v>
      </c>
      <c r="B124" s="62">
        <f>ROUND((+F124/1000)*E124,2)+ROUND((G124/1000)*E124,2)</f>
        <v>0.7</v>
      </c>
      <c r="C124" s="63">
        <v>0.38</v>
      </c>
      <c r="D124" s="62"/>
      <c r="E124" s="61">
        <v>625</v>
      </c>
      <c r="F124" s="61">
        <v>0.69899999999999995</v>
      </c>
      <c r="G124" s="64">
        <v>0.41799999999999998</v>
      </c>
      <c r="H124" s="65">
        <f>ROUND((L124/1000)*E124,2)</f>
        <v>3.8</v>
      </c>
      <c r="I124" s="47"/>
      <c r="J124" s="47"/>
      <c r="K124" s="47"/>
      <c r="L124" s="47">
        <v>6.08</v>
      </c>
      <c r="M124" s="47"/>
    </row>
    <row r="125" spans="1:14" x14ac:dyDescent="0.2">
      <c r="A125" s="96" t="s">
        <v>900</v>
      </c>
      <c r="B125" s="62">
        <f>ROUND((+F125/1000)*E125,2)+ROUND((G125/1000)*E125,2)</f>
        <v>0.72</v>
      </c>
      <c r="C125" s="63">
        <v>0.38</v>
      </c>
      <c r="D125" s="62"/>
      <c r="E125" s="61">
        <v>650</v>
      </c>
      <c r="F125" s="61">
        <v>0.69899999999999995</v>
      </c>
      <c r="G125" s="64">
        <v>0.41799999999999998</v>
      </c>
      <c r="H125" s="65">
        <f>ROUND((L125/1000)*E125,2)</f>
        <v>3.95</v>
      </c>
      <c r="I125" s="47"/>
      <c r="J125" s="47"/>
      <c r="K125" s="47"/>
      <c r="L125" s="47">
        <v>6.08</v>
      </c>
      <c r="M125" s="47"/>
    </row>
    <row r="126" spans="1:14" x14ac:dyDescent="0.2">
      <c r="A126" s="61" t="s">
        <v>901</v>
      </c>
      <c r="B126" s="62">
        <f>ROUND((+F126/1000)*E126,2)+ROUND((G126/1000)*E126,2)</f>
        <v>0.74</v>
      </c>
      <c r="C126" s="63">
        <v>0.38</v>
      </c>
      <c r="D126" s="62"/>
      <c r="E126" s="61">
        <v>660</v>
      </c>
      <c r="F126" s="61">
        <v>0.69899999999999995</v>
      </c>
      <c r="G126" s="64">
        <v>0.41799999999999998</v>
      </c>
      <c r="H126" s="65">
        <f>ROUND((L126/1000)*E126,2)</f>
        <v>4.01</v>
      </c>
      <c r="I126" s="47"/>
      <c r="J126" s="47"/>
      <c r="K126" s="47"/>
      <c r="L126" s="47">
        <v>6.08</v>
      </c>
      <c r="M126" s="47"/>
    </row>
    <row r="127" spans="1:14" x14ac:dyDescent="0.2">
      <c r="A127" s="61" t="s">
        <v>902</v>
      </c>
      <c r="B127" s="62">
        <f t="shared" si="44"/>
        <v>0.79</v>
      </c>
      <c r="C127" s="63">
        <v>0.38</v>
      </c>
      <c r="D127" s="62"/>
      <c r="E127" s="61">
        <v>710</v>
      </c>
      <c r="F127" s="61">
        <v>0.69299999999999995</v>
      </c>
      <c r="G127" s="64">
        <v>0.41799999999999998</v>
      </c>
      <c r="H127" s="65">
        <f t="shared" si="43"/>
        <v>4.28</v>
      </c>
      <c r="I127" s="47"/>
      <c r="J127" s="47"/>
      <c r="K127" s="47"/>
      <c r="L127" s="47">
        <v>6.03</v>
      </c>
      <c r="M127" s="47"/>
    </row>
    <row r="128" spans="1:14" x14ac:dyDescent="0.2">
      <c r="A128" s="61" t="s">
        <v>903</v>
      </c>
      <c r="B128" s="62">
        <f t="shared" si="44"/>
        <v>0.83000000000000007</v>
      </c>
      <c r="C128" s="63">
        <v>0.38</v>
      </c>
      <c r="D128" s="62"/>
      <c r="E128" s="61">
        <v>750</v>
      </c>
      <c r="F128" s="61">
        <v>0.69299999999999995</v>
      </c>
      <c r="G128" s="64">
        <v>0.41799999999999998</v>
      </c>
      <c r="H128" s="65">
        <f>ROUND((L128/1000)*E128,2)</f>
        <v>4.5199999999999996</v>
      </c>
      <c r="I128" s="47"/>
      <c r="J128" s="47"/>
      <c r="K128" s="47"/>
      <c r="L128" s="47">
        <v>6.03</v>
      </c>
      <c r="M128" s="47"/>
    </row>
    <row r="129" spans="1:13" x14ac:dyDescent="0.2">
      <c r="A129" s="61" t="s">
        <v>904</v>
      </c>
      <c r="B129" s="62">
        <f t="shared" ref="B129" si="47">ROUND((+F129/1000)*E129,2)+ROUND((G129/1000)*E129,2)</f>
        <v>0.85000000000000009</v>
      </c>
      <c r="C129" s="63">
        <v>0.38</v>
      </c>
      <c r="D129" s="62"/>
      <c r="E129" s="61">
        <v>765</v>
      </c>
      <c r="F129" s="61">
        <v>0.69299999999999995</v>
      </c>
      <c r="G129" s="64">
        <v>0.41799999999999998</v>
      </c>
      <c r="H129" s="65">
        <f>ROUND((L129/1000)*E129,2)</f>
        <v>4.6100000000000003</v>
      </c>
      <c r="I129" s="47"/>
      <c r="J129" s="47"/>
      <c r="K129" s="47"/>
      <c r="L129" s="47">
        <v>6.03</v>
      </c>
      <c r="M129" s="47"/>
    </row>
    <row r="130" spans="1:13" x14ac:dyDescent="0.2">
      <c r="A130" s="61" t="s">
        <v>905</v>
      </c>
      <c r="B130" s="62">
        <f>ROUND((+F130/1000)*E130,2)+ROUND((G130/1000)*E130,2)</f>
        <v>1.04</v>
      </c>
      <c r="C130" s="63">
        <v>0.38</v>
      </c>
      <c r="D130" s="62"/>
      <c r="E130" s="61">
        <v>944</v>
      </c>
      <c r="F130" s="61">
        <v>0.69299999999999995</v>
      </c>
      <c r="G130" s="64">
        <v>0.41799999999999998</v>
      </c>
      <c r="H130" s="65">
        <f>ROUND((L130/1000)*E130,2)</f>
        <v>5.69</v>
      </c>
      <c r="I130" s="47"/>
      <c r="J130" s="47"/>
      <c r="K130" s="47"/>
      <c r="L130" s="47">
        <v>6.03</v>
      </c>
      <c r="M130" s="47"/>
    </row>
    <row r="131" spans="1:13" x14ac:dyDescent="0.2">
      <c r="A131" s="61" t="s">
        <v>906</v>
      </c>
      <c r="B131" s="62">
        <f>ROUND((+F131/1000)*E131,2)+ROUND((G131/1000)*E131,2)</f>
        <v>1.06</v>
      </c>
      <c r="C131" s="63">
        <v>0.38</v>
      </c>
      <c r="D131" s="62"/>
      <c r="E131" s="61">
        <v>946</v>
      </c>
      <c r="F131" s="61">
        <v>0.69299999999999995</v>
      </c>
      <c r="G131" s="64">
        <v>0.41799999999999998</v>
      </c>
      <c r="H131" s="65">
        <f>ROUND((L131/1000)*E131,2)</f>
        <v>5.7</v>
      </c>
      <c r="I131" s="47"/>
      <c r="J131" s="47"/>
      <c r="K131" s="47"/>
      <c r="L131" s="47">
        <v>6.03</v>
      </c>
      <c r="M131" s="47"/>
    </row>
    <row r="132" spans="1:13" x14ac:dyDescent="0.2">
      <c r="A132" s="61" t="s">
        <v>907</v>
      </c>
      <c r="B132" s="62">
        <f t="shared" si="44"/>
        <v>1.1099999999999999</v>
      </c>
      <c r="C132" s="63">
        <v>0.38</v>
      </c>
      <c r="D132" s="62"/>
      <c r="E132" s="61">
        <v>1000</v>
      </c>
      <c r="F132" s="61">
        <v>0.69299999999999995</v>
      </c>
      <c r="G132" s="64">
        <v>0.41799999999999998</v>
      </c>
      <c r="H132" s="65">
        <f t="shared" si="43"/>
        <v>6.03</v>
      </c>
      <c r="I132" s="47"/>
      <c r="J132" s="47"/>
      <c r="K132" s="47"/>
      <c r="L132" s="47">
        <v>6.03</v>
      </c>
      <c r="M132" s="47"/>
    </row>
    <row r="133" spans="1:13" x14ac:dyDescent="0.2">
      <c r="A133" s="61" t="s">
        <v>908</v>
      </c>
      <c r="B133" s="62">
        <f>ROUND((+F133/1000)*E133,2)+ROUND((G133/1000)*E133,2)</f>
        <v>1.46</v>
      </c>
      <c r="C133" s="63">
        <v>0.38</v>
      </c>
      <c r="D133" s="62"/>
      <c r="E133" s="61">
        <v>1320</v>
      </c>
      <c r="F133" s="61">
        <v>0.69299999999999995</v>
      </c>
      <c r="G133" s="64">
        <v>0.41799999999999998</v>
      </c>
      <c r="H133" s="65">
        <f>ROUND((L133/1000)*E133,2)</f>
        <v>7.96</v>
      </c>
      <c r="I133" s="47"/>
      <c r="J133" s="47"/>
      <c r="K133" s="47"/>
      <c r="L133" s="47">
        <v>6.03</v>
      </c>
      <c r="M133" s="47"/>
    </row>
    <row r="134" spans="1:13" x14ac:dyDescent="0.2">
      <c r="A134" s="61" t="s">
        <v>909</v>
      </c>
      <c r="B134" s="62">
        <f t="shared" si="44"/>
        <v>1.5699999999999998</v>
      </c>
      <c r="C134" s="63">
        <v>0.38</v>
      </c>
      <c r="D134" s="62"/>
      <c r="E134" s="61">
        <v>1420</v>
      </c>
      <c r="F134" s="61">
        <v>0.69299999999999995</v>
      </c>
      <c r="G134" s="64">
        <v>0.41799999999999998</v>
      </c>
      <c r="H134" s="65">
        <f t="shared" si="43"/>
        <v>8.56</v>
      </c>
      <c r="I134" s="47"/>
      <c r="J134" s="47"/>
      <c r="K134" s="47"/>
      <c r="L134" s="47">
        <v>6.03</v>
      </c>
      <c r="M134" s="47"/>
    </row>
    <row r="135" spans="1:13" x14ac:dyDescent="0.2">
      <c r="A135" s="61" t="s">
        <v>910</v>
      </c>
      <c r="B135" s="62">
        <f t="shared" si="44"/>
        <v>1.67</v>
      </c>
      <c r="C135" s="63">
        <v>0.38</v>
      </c>
      <c r="D135" s="62"/>
      <c r="E135" s="61">
        <v>1500</v>
      </c>
      <c r="F135" s="61">
        <v>0.69299999999999995</v>
      </c>
      <c r="G135" s="64">
        <v>0.41799999999999998</v>
      </c>
      <c r="H135" s="65">
        <f t="shared" si="43"/>
        <v>9.0500000000000007</v>
      </c>
      <c r="I135" s="47"/>
      <c r="J135" s="47"/>
      <c r="K135" s="47"/>
      <c r="L135" s="47">
        <v>6.03</v>
      </c>
      <c r="M135" s="47"/>
    </row>
    <row r="136" spans="1:13" x14ac:dyDescent="0.2">
      <c r="A136" s="61" t="s">
        <v>911</v>
      </c>
      <c r="B136" s="62">
        <f t="shared" si="44"/>
        <v>1.96</v>
      </c>
      <c r="C136" s="63">
        <v>0.38</v>
      </c>
      <c r="D136" s="62"/>
      <c r="E136" s="61">
        <v>1760</v>
      </c>
      <c r="F136" s="61">
        <v>0.69299999999999995</v>
      </c>
      <c r="G136" s="64">
        <v>0.41799999999999998</v>
      </c>
      <c r="H136" s="65">
        <f t="shared" si="43"/>
        <v>10.61</v>
      </c>
      <c r="I136" s="47"/>
      <c r="J136" s="47"/>
      <c r="K136" s="47"/>
      <c r="L136" s="47">
        <v>6.03</v>
      </c>
      <c r="M136" s="47"/>
    </row>
    <row r="137" spans="1:13" x14ac:dyDescent="0.2">
      <c r="A137" s="61" t="s">
        <v>912</v>
      </c>
      <c r="B137" s="62">
        <f>ROUND((+F137/1000)*E137,2)+ROUND((G137/1000)*E137,2)</f>
        <v>1.97</v>
      </c>
      <c r="C137" s="63">
        <v>0.38</v>
      </c>
      <c r="D137" s="62"/>
      <c r="E137" s="61">
        <v>1775</v>
      </c>
      <c r="F137" s="61">
        <v>0.69299999999999995</v>
      </c>
      <c r="G137" s="64">
        <v>0.41799999999999998</v>
      </c>
      <c r="H137" s="65">
        <f t="shared" ref="H137" si="48">ROUND((L137/1000)*E137,2)</f>
        <v>10.7</v>
      </c>
      <c r="I137" s="47"/>
      <c r="J137" s="47"/>
      <c r="K137" s="47"/>
      <c r="L137" s="47">
        <v>6.03</v>
      </c>
      <c r="M137" s="47"/>
    </row>
    <row r="138" spans="1:13" x14ac:dyDescent="0.2">
      <c r="A138" s="61" t="s">
        <v>913</v>
      </c>
      <c r="B138" s="62">
        <f>ROUND((+F138/1000)*E138,2)+ROUND((G138/1000)*E138,2)</f>
        <v>2.1</v>
      </c>
      <c r="C138" s="63">
        <v>0.38</v>
      </c>
      <c r="D138" s="62"/>
      <c r="E138" s="61">
        <v>1892</v>
      </c>
      <c r="F138" s="61">
        <v>0.69299999999999995</v>
      </c>
      <c r="G138" s="64">
        <v>0.41799999999999998</v>
      </c>
      <c r="H138" s="65">
        <f t="shared" si="43"/>
        <v>11.41</v>
      </c>
      <c r="I138" s="47"/>
      <c r="J138" s="47"/>
      <c r="K138" s="47"/>
      <c r="L138" s="47">
        <v>6.03</v>
      </c>
      <c r="M138" s="47"/>
    </row>
    <row r="139" spans="1:13" x14ac:dyDescent="0.2">
      <c r="A139" s="61" t="s">
        <v>914</v>
      </c>
      <c r="B139" s="62">
        <f t="shared" si="44"/>
        <v>2.2000000000000002</v>
      </c>
      <c r="C139" s="63">
        <v>0.38</v>
      </c>
      <c r="D139" s="62"/>
      <c r="E139" s="61">
        <v>1980</v>
      </c>
      <c r="F139" s="61">
        <v>0.69299999999999995</v>
      </c>
      <c r="G139" s="64">
        <v>0.41799999999999998</v>
      </c>
      <c r="H139" s="65">
        <f t="shared" si="43"/>
        <v>11.94</v>
      </c>
      <c r="I139" s="47"/>
      <c r="J139" s="47"/>
      <c r="K139" s="47"/>
      <c r="L139" s="47">
        <v>6.03</v>
      </c>
      <c r="M139" s="47"/>
    </row>
    <row r="140" spans="1:13" x14ac:dyDescent="0.2">
      <c r="A140" s="61" t="s">
        <v>915</v>
      </c>
      <c r="B140" s="62">
        <f t="shared" si="44"/>
        <v>2.23</v>
      </c>
      <c r="C140" s="63">
        <v>0.38</v>
      </c>
      <c r="D140" s="62"/>
      <c r="E140" s="61">
        <v>2000</v>
      </c>
      <c r="F140" s="61">
        <v>0.69299999999999995</v>
      </c>
      <c r="G140" s="64">
        <v>0.41799999999999998</v>
      </c>
      <c r="H140" s="65">
        <f>ROUND((L140/1000)*E140,2)</f>
        <v>12.06</v>
      </c>
      <c r="I140" s="47"/>
      <c r="J140" s="47"/>
      <c r="K140" s="47"/>
      <c r="L140" s="47">
        <v>6.03</v>
      </c>
      <c r="M140" s="47"/>
    </row>
    <row r="141" spans="1:13" x14ac:dyDescent="0.2">
      <c r="A141" s="61" t="s">
        <v>916</v>
      </c>
      <c r="B141" s="62">
        <f t="shared" ref="B141" si="49">ROUND((+F141/1000)*E141,2)+ROUND((G141/1000)*E141,2)</f>
        <v>2.34</v>
      </c>
      <c r="C141" s="63">
        <v>0.38</v>
      </c>
      <c r="D141" s="62"/>
      <c r="E141" s="61">
        <v>2100</v>
      </c>
      <c r="F141" s="61">
        <v>0.69299999999999995</v>
      </c>
      <c r="G141" s="64">
        <v>0.41799999999999998</v>
      </c>
      <c r="H141" s="65">
        <f t="shared" ref="H141" si="50">ROUND((L141/1000)*E141,2)</f>
        <v>12.66</v>
      </c>
      <c r="I141" s="47"/>
      <c r="J141" s="47"/>
      <c r="K141" s="47"/>
      <c r="L141" s="47">
        <v>6.03</v>
      </c>
      <c r="M141" s="47"/>
    </row>
    <row r="142" spans="1:13" x14ac:dyDescent="0.2">
      <c r="A142" s="61" t="s">
        <v>917</v>
      </c>
      <c r="B142" s="62">
        <f t="shared" si="44"/>
        <v>2.36</v>
      </c>
      <c r="C142" s="63">
        <v>0.38</v>
      </c>
      <c r="D142" s="62"/>
      <c r="E142" s="61">
        <v>2124</v>
      </c>
      <c r="F142" s="61">
        <v>0.69299999999999995</v>
      </c>
      <c r="G142" s="64">
        <v>0.41799999999999998</v>
      </c>
      <c r="H142" s="65">
        <f t="shared" si="43"/>
        <v>12.81</v>
      </c>
      <c r="I142" s="47"/>
      <c r="J142" s="47"/>
      <c r="K142" s="47"/>
      <c r="L142" s="47">
        <v>6.03</v>
      </c>
      <c r="M142" s="47"/>
    </row>
    <row r="143" spans="1:13" x14ac:dyDescent="0.2">
      <c r="A143" s="61" t="s">
        <v>918</v>
      </c>
      <c r="B143" s="62">
        <f t="shared" si="44"/>
        <v>2.37</v>
      </c>
      <c r="C143" s="63">
        <v>0.38</v>
      </c>
      <c r="D143" s="62"/>
      <c r="E143" s="61">
        <v>2130</v>
      </c>
      <c r="F143" s="61">
        <v>0.69299999999999995</v>
      </c>
      <c r="G143" s="64">
        <v>0.41799999999999998</v>
      </c>
      <c r="H143" s="65">
        <f t="shared" si="43"/>
        <v>11.95</v>
      </c>
      <c r="I143" s="47"/>
      <c r="J143" s="47"/>
      <c r="K143" s="47"/>
      <c r="L143" s="47">
        <v>5.61</v>
      </c>
      <c r="M143" s="47"/>
    </row>
    <row r="144" spans="1:13" x14ac:dyDescent="0.2">
      <c r="A144" s="61" t="s">
        <v>919</v>
      </c>
      <c r="B144" s="62">
        <f>ROUND((+F144/1000)*E144,2)+ROUND((G144/1000)*E144,2)</f>
        <v>2.2599999999999998</v>
      </c>
      <c r="C144" s="63">
        <v>0.38</v>
      </c>
      <c r="D144" s="62"/>
      <c r="E144" s="61">
        <v>2040</v>
      </c>
      <c r="F144" s="61">
        <v>0.69299999999999995</v>
      </c>
      <c r="G144" s="64">
        <v>0.41799999999999998</v>
      </c>
      <c r="H144" s="65">
        <f t="shared" ref="H144" si="51">ROUND((L144/1000)*E144,2)</f>
        <v>11.44</v>
      </c>
      <c r="I144" s="47"/>
      <c r="J144" s="47"/>
      <c r="K144" s="47"/>
      <c r="L144" s="47">
        <v>5.61</v>
      </c>
      <c r="M144" s="47"/>
    </row>
    <row r="145" spans="1:13" x14ac:dyDescent="0.2">
      <c r="A145" s="61" t="s">
        <v>920</v>
      </c>
      <c r="B145" s="62">
        <f>ROUND((+F145/1000)*E145,2)+ROUND((G145/1000)*E145,2)</f>
        <v>2.2799999999999998</v>
      </c>
      <c r="C145" s="63">
        <v>0.38</v>
      </c>
      <c r="D145" s="62"/>
      <c r="E145" s="61">
        <v>2046</v>
      </c>
      <c r="F145" s="61">
        <v>0.69299999999999995</v>
      </c>
      <c r="G145" s="64">
        <v>0.41799999999999998</v>
      </c>
      <c r="H145" s="65">
        <f t="shared" si="43"/>
        <v>11.48</v>
      </c>
      <c r="I145" s="47"/>
      <c r="J145" s="47"/>
      <c r="K145" s="47"/>
      <c r="L145" s="47">
        <v>5.61</v>
      </c>
      <c r="M145" s="47"/>
    </row>
    <row r="146" spans="1:13" x14ac:dyDescent="0.2">
      <c r="A146" s="61" t="s">
        <v>921</v>
      </c>
      <c r="B146" s="62">
        <f>ROUND((+F146/1000)*E146,2)+ROUND((G146/1000)*E146,2)</f>
        <v>2.31</v>
      </c>
      <c r="C146" s="63">
        <v>0.38</v>
      </c>
      <c r="D146" s="62"/>
      <c r="E146" s="61">
        <v>2076</v>
      </c>
      <c r="F146" s="61">
        <v>0.69299999999999995</v>
      </c>
      <c r="G146" s="64">
        <v>0.41799999999999998</v>
      </c>
      <c r="H146" s="65">
        <f t="shared" ref="H146" si="52">ROUND((L146/1000)*E146,2)</f>
        <v>11.65</v>
      </c>
      <c r="I146" s="47"/>
      <c r="J146" s="47"/>
      <c r="K146" s="47"/>
      <c r="L146" s="47">
        <v>5.61</v>
      </c>
      <c r="M146" s="47"/>
    </row>
    <row r="147" spans="1:13" x14ac:dyDescent="0.2">
      <c r="A147" s="61" t="s">
        <v>922</v>
      </c>
      <c r="B147" s="62">
        <f t="shared" si="44"/>
        <v>3.02</v>
      </c>
      <c r="C147" s="63">
        <v>0.38</v>
      </c>
      <c r="D147" s="62"/>
      <c r="E147" s="61">
        <v>2840</v>
      </c>
      <c r="F147" s="61">
        <v>0.64400000000000002</v>
      </c>
      <c r="G147" s="64">
        <v>0.41799999999999998</v>
      </c>
      <c r="H147" s="65">
        <f t="shared" si="43"/>
        <v>15.93</v>
      </c>
      <c r="I147" s="47"/>
      <c r="J147" s="47"/>
      <c r="K147" s="47"/>
      <c r="L147" s="47">
        <v>5.61</v>
      </c>
      <c r="M147" s="47"/>
    </row>
    <row r="148" spans="1:13" x14ac:dyDescent="0.2">
      <c r="A148" s="61" t="s">
        <v>923</v>
      </c>
      <c r="B148" s="62">
        <f>ROUND((+F148/1000)*E148,2)+ROUND((G148/1000)*E148,2)</f>
        <v>3</v>
      </c>
      <c r="C148" s="63">
        <v>0.38</v>
      </c>
      <c r="D148" s="62"/>
      <c r="E148" s="61">
        <v>2832</v>
      </c>
      <c r="F148" s="61">
        <v>0.64400000000000002</v>
      </c>
      <c r="G148" s="64">
        <v>0.41799999999999998</v>
      </c>
      <c r="H148" s="65">
        <f>ROUND((L148/1000)*E148,2)</f>
        <v>15.89</v>
      </c>
      <c r="I148" s="47"/>
      <c r="J148" s="47"/>
      <c r="K148" s="47"/>
      <c r="L148" s="47">
        <v>5.61</v>
      </c>
      <c r="M148" s="47"/>
    </row>
    <row r="149" spans="1:13" x14ac:dyDescent="0.2">
      <c r="A149" s="61" t="s">
        <v>924</v>
      </c>
      <c r="B149" s="62">
        <f>ROUND((+F149/1000)*E149,2)+ROUND((G149/1000)*E149,2)</f>
        <v>3.02</v>
      </c>
      <c r="C149" s="63">
        <v>0.38</v>
      </c>
      <c r="D149" s="62"/>
      <c r="E149" s="61">
        <v>2838</v>
      </c>
      <c r="F149" s="61">
        <v>0.64400000000000002</v>
      </c>
      <c r="G149" s="64">
        <v>0.41799999999999998</v>
      </c>
      <c r="H149" s="65">
        <f>ROUND((L149/1000)*E149,2)</f>
        <v>15.92</v>
      </c>
      <c r="I149" s="47"/>
      <c r="J149" s="47"/>
      <c r="K149" s="47"/>
      <c r="L149" s="47">
        <v>5.61</v>
      </c>
      <c r="M149" s="47"/>
    </row>
    <row r="150" spans="1:13" x14ac:dyDescent="0.2">
      <c r="A150" s="61" t="s">
        <v>925</v>
      </c>
      <c r="B150" s="62">
        <f>ROUND((+F150/1000)*E150,2)+ROUND((G150/1000)*E150,2)</f>
        <v>3.02</v>
      </c>
      <c r="C150" s="63">
        <v>0.38</v>
      </c>
      <c r="D150" s="62"/>
      <c r="E150" s="61">
        <v>2843</v>
      </c>
      <c r="F150" s="61">
        <v>0.64400000000000002</v>
      </c>
      <c r="G150" s="64">
        <v>0.41799999999999998</v>
      </c>
      <c r="H150" s="65">
        <f>ROUND((L150/1000)*E150,2)</f>
        <v>15.95</v>
      </c>
      <c r="I150" s="47"/>
      <c r="J150" s="47"/>
      <c r="K150" s="47"/>
      <c r="L150" s="47">
        <v>5.61</v>
      </c>
      <c r="M150" s="47"/>
    </row>
    <row r="151" spans="1:13" x14ac:dyDescent="0.2">
      <c r="A151" s="61" t="s">
        <v>926</v>
      </c>
      <c r="B151" s="62">
        <f>ROUND((+F151/1000)*E151,2)+ROUND((G151/1000)*E151,2)</f>
        <v>4.0199999999999996</v>
      </c>
      <c r="C151" s="63">
        <v>0.38</v>
      </c>
      <c r="D151" s="62"/>
      <c r="E151" s="61">
        <v>3784</v>
      </c>
      <c r="F151" s="61">
        <v>0.64400000000000002</v>
      </c>
      <c r="G151" s="64">
        <v>0.41799999999999998</v>
      </c>
      <c r="H151" s="65">
        <f>ROUND((L151/1000)*E151,2)</f>
        <v>21.23</v>
      </c>
      <c r="I151" s="47"/>
      <c r="J151" s="47"/>
      <c r="K151" s="47"/>
      <c r="L151" s="47">
        <v>5.61</v>
      </c>
      <c r="M151" s="47"/>
    </row>
    <row r="152" spans="1:13" x14ac:dyDescent="0.2">
      <c r="A152" s="61" t="s">
        <v>927</v>
      </c>
      <c r="B152" s="62">
        <f>ROUND((+F152/1000)*E152,2)+ROUND((G152/1000)*E152,2)</f>
        <v>4.07</v>
      </c>
      <c r="C152" s="63">
        <v>0.38</v>
      </c>
      <c r="D152" s="62"/>
      <c r="E152" s="61">
        <v>3960</v>
      </c>
      <c r="F152" s="61">
        <v>0.60799999999999998</v>
      </c>
      <c r="G152" s="64">
        <v>0.41799999999999998</v>
      </c>
      <c r="H152" s="65">
        <f>ROUND((L152/1000)*E152,2)</f>
        <v>20.95</v>
      </c>
      <c r="I152" s="47"/>
      <c r="J152" s="47"/>
      <c r="K152" s="47"/>
      <c r="L152" s="47">
        <v>5.29</v>
      </c>
      <c r="M152" s="47"/>
    </row>
    <row r="153" spans="1:13" x14ac:dyDescent="0.2">
      <c r="A153" s="61" t="s">
        <v>928</v>
      </c>
      <c r="B153" s="62">
        <f t="shared" ref="B153" si="53">ROUND((+F153/1000)*E153,2)+ROUND((G153/1000)*E153,2)</f>
        <v>4.0999999999999996</v>
      </c>
      <c r="C153" s="63">
        <v>0.38</v>
      </c>
      <c r="D153" s="62"/>
      <c r="E153" s="61">
        <v>4000</v>
      </c>
      <c r="F153" s="61">
        <v>0.60799999999999998</v>
      </c>
      <c r="G153" s="64">
        <v>0.41799999999999998</v>
      </c>
      <c r="H153" s="65">
        <f t="shared" ref="H153" si="54">ROUND((L153/1000)*E153,2)</f>
        <v>21.16</v>
      </c>
      <c r="I153" s="47"/>
      <c r="J153" s="47"/>
      <c r="K153" s="47"/>
      <c r="L153" s="47">
        <v>5.29</v>
      </c>
      <c r="M153" s="47"/>
    </row>
    <row r="154" spans="1:13" x14ac:dyDescent="0.2">
      <c r="A154" s="61" t="s">
        <v>929</v>
      </c>
      <c r="B154" s="62">
        <f t="shared" si="44"/>
        <v>4.2</v>
      </c>
      <c r="C154" s="63">
        <v>0.38</v>
      </c>
      <c r="D154" s="62"/>
      <c r="E154" s="61">
        <v>4092</v>
      </c>
      <c r="F154" s="61">
        <v>0.60799999999999998</v>
      </c>
      <c r="G154" s="64">
        <v>0.41799999999999998</v>
      </c>
      <c r="H154" s="65">
        <f t="shared" si="43"/>
        <v>21.65</v>
      </c>
      <c r="I154" s="47"/>
      <c r="J154" s="47"/>
      <c r="K154" s="47"/>
      <c r="L154" s="47">
        <v>5.29</v>
      </c>
      <c r="M154" s="47"/>
    </row>
    <row r="155" spans="1:13" x14ac:dyDescent="0.2">
      <c r="A155" s="61" t="s">
        <v>930</v>
      </c>
      <c r="B155" s="62">
        <f t="shared" si="44"/>
        <v>4.37</v>
      </c>
      <c r="C155" s="63">
        <v>0.38</v>
      </c>
      <c r="D155" s="62"/>
      <c r="E155" s="61">
        <v>4260</v>
      </c>
      <c r="F155" s="61">
        <v>0.60799999999999998</v>
      </c>
      <c r="G155" s="64">
        <v>0.41799999999999998</v>
      </c>
      <c r="H155" s="65">
        <f t="shared" si="43"/>
        <v>22.54</v>
      </c>
      <c r="I155" s="47"/>
      <c r="J155" s="47"/>
      <c r="K155" s="47"/>
      <c r="L155" s="47">
        <v>5.29</v>
      </c>
      <c r="M155" s="47"/>
    </row>
    <row r="156" spans="1:13" x14ac:dyDescent="0.2">
      <c r="A156" s="61" t="s">
        <v>931</v>
      </c>
      <c r="B156" s="62">
        <f t="shared" si="44"/>
        <v>5.13</v>
      </c>
      <c r="C156" s="63">
        <v>0.38</v>
      </c>
      <c r="D156" s="62"/>
      <c r="E156" s="61">
        <v>5000</v>
      </c>
      <c r="F156" s="61">
        <v>0.60799999999999998</v>
      </c>
      <c r="G156" s="64">
        <v>0.41799999999999998</v>
      </c>
      <c r="H156" s="65">
        <f t="shared" si="43"/>
        <v>26.45</v>
      </c>
      <c r="I156" s="47"/>
      <c r="J156" s="47"/>
      <c r="K156" s="47"/>
      <c r="L156" s="47">
        <v>5.29</v>
      </c>
      <c r="M156" s="47"/>
    </row>
    <row r="157" spans="1:13" x14ac:dyDescent="0.2">
      <c r="A157" s="61" t="s">
        <v>932</v>
      </c>
      <c r="B157" s="62">
        <f t="shared" si="44"/>
        <v>5.25</v>
      </c>
      <c r="C157" s="63">
        <v>0.38</v>
      </c>
      <c r="D157" s="62"/>
      <c r="E157" s="61">
        <v>5115</v>
      </c>
      <c r="F157" s="61">
        <v>0.60799999999999998</v>
      </c>
      <c r="G157" s="64">
        <v>0.41799999999999998</v>
      </c>
      <c r="H157" s="65">
        <f t="shared" si="43"/>
        <v>27.06</v>
      </c>
      <c r="I157" s="47"/>
      <c r="J157" s="47"/>
      <c r="K157" s="47"/>
      <c r="L157" s="47">
        <v>5.29</v>
      </c>
      <c r="M157" s="47"/>
    </row>
    <row r="158" spans="1:13" x14ac:dyDescent="0.2">
      <c r="A158" s="61" t="s">
        <v>933</v>
      </c>
      <c r="B158" s="62">
        <f>ROUND((+F158/1000)*E158,2)+ROUND((G158/1000)*E158,2)</f>
        <v>6.09</v>
      </c>
      <c r="C158" s="63">
        <v>0.38</v>
      </c>
      <c r="D158" s="62"/>
      <c r="E158" s="61">
        <v>5940</v>
      </c>
      <c r="F158" s="61">
        <v>0.60799999999999998</v>
      </c>
      <c r="G158" s="64">
        <v>0.41799999999999998</v>
      </c>
      <c r="H158" s="65">
        <f t="shared" ref="H158" si="55">ROUND((L158/1000)*E158,2)</f>
        <v>31.42</v>
      </c>
      <c r="I158" s="47"/>
      <c r="J158" s="47"/>
      <c r="K158" s="47"/>
      <c r="L158" s="47">
        <v>5.29</v>
      </c>
      <c r="M158" s="47"/>
    </row>
    <row r="159" spans="1:13" x14ac:dyDescent="0.2">
      <c r="A159" s="61" t="s">
        <v>934</v>
      </c>
      <c r="B159" s="62">
        <f>ROUND((+F159/1000)*E159,2)+ROUND((G159/1000)*E159,2)</f>
        <v>7.7799999999999994</v>
      </c>
      <c r="C159" s="63">
        <v>0.38</v>
      </c>
      <c r="D159" s="62"/>
      <c r="E159" s="61">
        <v>7920</v>
      </c>
      <c r="F159" s="61">
        <v>0.56499999999999995</v>
      </c>
      <c r="G159" s="64">
        <v>0.41799999999999998</v>
      </c>
      <c r="H159" s="65">
        <f>ROUND((L159/1000)*E159,2)</f>
        <v>41.9</v>
      </c>
      <c r="I159" s="47"/>
      <c r="J159" s="47"/>
      <c r="K159" s="47"/>
      <c r="L159" s="47">
        <v>5.29</v>
      </c>
      <c r="M159" s="47"/>
    </row>
    <row r="160" spans="1:13" x14ac:dyDescent="0.2">
      <c r="A160" s="96" t="s">
        <v>935</v>
      </c>
      <c r="B160" s="62">
        <f t="shared" ref="B160:B163" si="56">ROUND((+F160/1000)*E160,2)+ROUND((G160/1000)*E160,2)</f>
        <v>10.94</v>
      </c>
      <c r="C160" s="63">
        <v>0.38</v>
      </c>
      <c r="D160" s="62"/>
      <c r="E160" s="61">
        <v>20000</v>
      </c>
      <c r="F160" s="61">
        <v>0.54700000000000004</v>
      </c>
      <c r="G160" s="64">
        <v>0</v>
      </c>
      <c r="H160" s="65">
        <f t="shared" ref="H160:H163" si="57">ROUND((L160/1000)*E160,2)</f>
        <v>98.4</v>
      </c>
      <c r="I160" s="47"/>
      <c r="J160" s="47"/>
      <c r="K160" s="47"/>
      <c r="L160" s="47">
        <v>4.92</v>
      </c>
      <c r="M160" s="47"/>
    </row>
    <row r="161" spans="1:13" x14ac:dyDescent="0.2">
      <c r="A161" s="96" t="s">
        <v>936</v>
      </c>
      <c r="B161" s="62">
        <f t="shared" si="56"/>
        <v>16.41</v>
      </c>
      <c r="C161" s="63">
        <v>0.38</v>
      </c>
      <c r="D161" s="62"/>
      <c r="E161" s="61">
        <v>30000</v>
      </c>
      <c r="F161" s="61">
        <v>0.54700000000000004</v>
      </c>
      <c r="G161" s="64">
        <v>0</v>
      </c>
      <c r="H161" s="65">
        <f t="shared" si="57"/>
        <v>147.6</v>
      </c>
      <c r="I161" s="47"/>
      <c r="J161" s="47"/>
      <c r="K161" s="47"/>
      <c r="L161" s="47">
        <v>4.92</v>
      </c>
      <c r="M161" s="47"/>
    </row>
    <row r="162" spans="1:13" x14ac:dyDescent="0.2">
      <c r="A162" s="96" t="s">
        <v>937</v>
      </c>
      <c r="B162" s="62">
        <f t="shared" si="56"/>
        <v>27.35</v>
      </c>
      <c r="C162" s="63">
        <v>0.38</v>
      </c>
      <c r="D162" s="62"/>
      <c r="E162" s="61">
        <v>50000</v>
      </c>
      <c r="F162" s="61">
        <v>0.54700000000000004</v>
      </c>
      <c r="G162" s="64">
        <v>0</v>
      </c>
      <c r="H162" s="65">
        <f t="shared" si="57"/>
        <v>246</v>
      </c>
      <c r="I162" s="47"/>
      <c r="J162" s="47"/>
      <c r="K162" s="47"/>
      <c r="L162" s="47">
        <v>4.92</v>
      </c>
      <c r="M162" s="47"/>
    </row>
    <row r="163" spans="1:13" x14ac:dyDescent="0.2">
      <c r="A163" s="96" t="s">
        <v>938</v>
      </c>
      <c r="B163" s="62">
        <f t="shared" si="56"/>
        <v>32.049999999999997</v>
      </c>
      <c r="C163" s="63">
        <v>0.38</v>
      </c>
      <c r="D163" s="62"/>
      <c r="E163" s="61">
        <v>58600</v>
      </c>
      <c r="F163" s="61">
        <v>0.54700000000000004</v>
      </c>
      <c r="G163" s="64">
        <v>0</v>
      </c>
      <c r="H163" s="65">
        <f t="shared" si="57"/>
        <v>288.31</v>
      </c>
      <c r="I163" s="47"/>
      <c r="J163" s="47"/>
      <c r="K163" s="47"/>
      <c r="L163" s="47">
        <v>4.92</v>
      </c>
      <c r="M163" s="47"/>
    </row>
    <row r="164" spans="1:13" x14ac:dyDescent="0.2">
      <c r="A164" s="61" t="s">
        <v>939</v>
      </c>
      <c r="B164" s="62">
        <f t="shared" si="44"/>
        <v>8.0399999999999991</v>
      </c>
      <c r="C164" s="63">
        <v>0.38</v>
      </c>
      <c r="D164" s="62"/>
      <c r="E164" s="61">
        <v>8184</v>
      </c>
      <c r="F164" s="61">
        <v>0.56499999999999995</v>
      </c>
      <c r="G164" s="64">
        <v>0.41799999999999998</v>
      </c>
      <c r="H164" s="65">
        <f t="shared" si="43"/>
        <v>40.270000000000003</v>
      </c>
      <c r="I164" s="47"/>
      <c r="J164" s="47"/>
      <c r="K164" s="47"/>
      <c r="L164" s="47">
        <v>4.92</v>
      </c>
      <c r="M164" s="47"/>
    </row>
    <row r="165" spans="1:13" x14ac:dyDescent="0.2">
      <c r="A165" s="61" t="s">
        <v>940</v>
      </c>
      <c r="B165" s="62">
        <f t="shared" ref="B165" si="58">ROUND((+F165/1000)*E165,2)+ROUND((G165/1000)*E165,2)</f>
        <v>8.3699999999999992</v>
      </c>
      <c r="C165" s="63">
        <v>0.38</v>
      </c>
      <c r="D165" s="62"/>
      <c r="E165" s="61">
        <v>8520</v>
      </c>
      <c r="F165" s="61">
        <v>0.56499999999999995</v>
      </c>
      <c r="G165" s="64">
        <v>0.41799999999999998</v>
      </c>
      <c r="H165" s="65">
        <f t="shared" ref="H165:H166" si="59">ROUND((L165/1000)*E165,2)</f>
        <v>41.92</v>
      </c>
      <c r="I165" s="47"/>
      <c r="J165" s="47"/>
      <c r="K165" s="47"/>
      <c r="L165" s="47">
        <v>4.92</v>
      </c>
      <c r="M165" s="47"/>
    </row>
    <row r="166" spans="1:13" x14ac:dyDescent="0.2">
      <c r="A166" s="61" t="s">
        <v>941</v>
      </c>
      <c r="B166" s="62">
        <f>ROUND((+F166/1000)*E166,2)+ROUND((G166/1000)*E166,2)</f>
        <v>1.1399999999999999</v>
      </c>
      <c r="C166" s="63">
        <v>0.19</v>
      </c>
      <c r="D166" s="62"/>
      <c r="E166" s="61">
        <v>2046</v>
      </c>
      <c r="F166" s="61">
        <v>0.34699999999999998</v>
      </c>
      <c r="G166" s="64">
        <v>0.20899999999999999</v>
      </c>
      <c r="H166" s="65">
        <f t="shared" si="59"/>
        <v>5.32</v>
      </c>
      <c r="I166" s="47"/>
      <c r="J166" s="47"/>
      <c r="K166" s="47"/>
      <c r="L166" s="47">
        <v>2.6</v>
      </c>
      <c r="M166" s="47"/>
    </row>
    <row r="167" spans="1:13" x14ac:dyDescent="0.2">
      <c r="A167" s="61" t="s">
        <v>942</v>
      </c>
      <c r="B167" s="62">
        <f>ROUND((+F167/1000)*E167,2)+ROUND((G167/1000)*E167,2)</f>
        <v>1.19</v>
      </c>
      <c r="C167" s="63">
        <v>0.19</v>
      </c>
      <c r="D167" s="62"/>
      <c r="E167" s="61">
        <v>2130</v>
      </c>
      <c r="F167" s="61">
        <v>0.34699999999999998</v>
      </c>
      <c r="G167" s="64">
        <v>0.20899999999999999</v>
      </c>
      <c r="H167" s="65">
        <f t="shared" si="43"/>
        <v>5.54</v>
      </c>
      <c r="I167" s="47"/>
      <c r="J167" s="47"/>
      <c r="K167" s="47"/>
      <c r="L167" s="47">
        <v>2.6</v>
      </c>
      <c r="M167" s="47"/>
    </row>
    <row r="168" spans="1:13" x14ac:dyDescent="0.2">
      <c r="A168" s="61" t="s">
        <v>943</v>
      </c>
      <c r="B168" s="62">
        <f>ROUND((+F168/1000)*E168,2)+ROUND((G168/1000)*E168,2)</f>
        <v>2.19</v>
      </c>
      <c r="C168" s="63">
        <v>0.19</v>
      </c>
      <c r="D168" s="62"/>
      <c r="E168" s="61">
        <v>4260</v>
      </c>
      <c r="F168" s="61">
        <v>0.30399999999999999</v>
      </c>
      <c r="G168" s="64">
        <v>0.20899999999999999</v>
      </c>
      <c r="H168" s="65">
        <f>ROUND((L168/1000)*E168,2)</f>
        <v>11.12</v>
      </c>
      <c r="I168" s="47"/>
      <c r="J168" s="47"/>
      <c r="K168" s="47"/>
      <c r="L168" s="47">
        <v>2.61</v>
      </c>
      <c r="M168" s="47"/>
    </row>
    <row r="169" spans="1:13" x14ac:dyDescent="0.2">
      <c r="A169" s="96" t="s">
        <v>959</v>
      </c>
      <c r="B169" s="62">
        <f t="shared" ref="B169:B171" si="60">ROUND((+F169/1000)*E169,2)+ROUND((G169/1000)*E169,2)</f>
        <v>10.94</v>
      </c>
      <c r="C169" s="63">
        <v>0.38</v>
      </c>
      <c r="D169" s="62"/>
      <c r="E169" s="61">
        <v>20000</v>
      </c>
      <c r="F169" s="61">
        <v>0.54700000000000004</v>
      </c>
      <c r="G169" s="64">
        <v>0</v>
      </c>
      <c r="H169" s="65">
        <f t="shared" ref="H169:H171" si="61">ROUND((L169/1000)*E169,2)</f>
        <v>98.4</v>
      </c>
      <c r="I169" s="47"/>
      <c r="J169" s="47"/>
      <c r="K169" s="47"/>
      <c r="L169" s="47">
        <v>4.92</v>
      </c>
      <c r="M169" s="47"/>
    </row>
    <row r="170" spans="1:13" x14ac:dyDescent="0.2">
      <c r="A170" s="96" t="s">
        <v>960</v>
      </c>
      <c r="B170" s="62">
        <f t="shared" si="60"/>
        <v>16.41</v>
      </c>
      <c r="C170" s="63">
        <v>0.38</v>
      </c>
      <c r="D170" s="62"/>
      <c r="E170" s="61">
        <v>30000</v>
      </c>
      <c r="F170" s="61">
        <v>0.54700000000000004</v>
      </c>
      <c r="G170" s="64">
        <v>0</v>
      </c>
      <c r="H170" s="65">
        <f t="shared" si="61"/>
        <v>147.6</v>
      </c>
      <c r="I170" s="47"/>
      <c r="J170" s="47"/>
      <c r="K170" s="47"/>
      <c r="L170" s="47">
        <v>4.92</v>
      </c>
      <c r="M170" s="47"/>
    </row>
    <row r="171" spans="1:13" x14ac:dyDescent="0.2">
      <c r="A171" s="96" t="s">
        <v>961</v>
      </c>
      <c r="B171" s="62">
        <f t="shared" si="60"/>
        <v>27.35</v>
      </c>
      <c r="C171" s="63">
        <v>0.38</v>
      </c>
      <c r="D171" s="62"/>
      <c r="E171" s="61">
        <v>50000</v>
      </c>
      <c r="F171" s="61">
        <v>0.54700000000000004</v>
      </c>
      <c r="G171" s="64">
        <v>0</v>
      </c>
      <c r="H171" s="65">
        <f t="shared" si="61"/>
        <v>246</v>
      </c>
      <c r="I171" s="47"/>
      <c r="J171" s="47"/>
      <c r="K171" s="47"/>
      <c r="L171" s="47">
        <v>4.92</v>
      </c>
      <c r="M171" s="47"/>
    </row>
    <row r="172" spans="1:13" x14ac:dyDescent="0.2">
      <c r="A172" s="61" t="s">
        <v>470</v>
      </c>
      <c r="B172" s="62">
        <v>3.05</v>
      </c>
      <c r="C172" s="63"/>
      <c r="D172" s="62"/>
      <c r="E172" s="61">
        <v>2046</v>
      </c>
      <c r="F172" s="61">
        <v>1.0429999999999999</v>
      </c>
      <c r="G172" s="64"/>
      <c r="H172" s="65">
        <f t="shared" si="43"/>
        <v>10.56</v>
      </c>
      <c r="I172" s="47"/>
      <c r="J172" s="47"/>
      <c r="K172" s="47"/>
      <c r="L172" s="47">
        <v>5.16</v>
      </c>
      <c r="M172" s="47"/>
    </row>
    <row r="173" spans="1:13" x14ac:dyDescent="0.2">
      <c r="A173" s="61" t="s">
        <v>471</v>
      </c>
      <c r="B173" s="62">
        <v>2.95</v>
      </c>
      <c r="C173" s="63"/>
      <c r="D173" s="62"/>
      <c r="E173" s="61"/>
      <c r="F173" s="61"/>
      <c r="G173" s="64"/>
      <c r="H173" s="65"/>
      <c r="I173" s="47"/>
      <c r="J173" s="47"/>
      <c r="K173" s="47"/>
      <c r="L173" s="47"/>
      <c r="M173" s="47"/>
    </row>
    <row r="174" spans="1:13" x14ac:dyDescent="0.2">
      <c r="A174" s="61" t="s">
        <v>472</v>
      </c>
      <c r="B174" s="62">
        <v>3.12</v>
      </c>
      <c r="C174" s="63"/>
      <c r="D174" s="62"/>
      <c r="E174" s="61"/>
      <c r="F174" s="61"/>
      <c r="G174" s="64"/>
      <c r="H174" s="65"/>
      <c r="I174" s="47"/>
      <c r="J174" s="47"/>
      <c r="K174" s="47"/>
      <c r="L174" s="47"/>
      <c r="M174" s="47"/>
    </row>
    <row r="175" spans="1:13" x14ac:dyDescent="0.2">
      <c r="A175" s="61" t="s">
        <v>473</v>
      </c>
      <c r="B175" s="62">
        <v>2.59</v>
      </c>
      <c r="C175" s="63"/>
      <c r="D175" s="62"/>
      <c r="E175" s="61"/>
      <c r="F175" s="61"/>
      <c r="G175" s="64"/>
      <c r="H175" s="65"/>
      <c r="I175" s="47"/>
      <c r="J175" s="47"/>
      <c r="K175" s="47"/>
      <c r="L175" s="47"/>
      <c r="M175" s="47"/>
    </row>
    <row r="176" spans="1:13" x14ac:dyDescent="0.2">
      <c r="A176" s="66" t="s">
        <v>474</v>
      </c>
      <c r="B176" s="67">
        <f>((+F176/1000)*E176)*0.85</f>
        <v>1.8921408</v>
      </c>
      <c r="C176" s="68">
        <f>+$C$155*0.85</f>
        <v>0.32300000000000001</v>
      </c>
      <c r="D176" s="67"/>
      <c r="E176" s="66">
        <v>2046</v>
      </c>
      <c r="F176" s="66">
        <v>1.0880000000000001</v>
      </c>
      <c r="G176" s="69"/>
      <c r="H176" s="70">
        <f t="shared" si="43"/>
        <v>11.05</v>
      </c>
      <c r="I176" s="71"/>
      <c r="J176" s="71"/>
      <c r="K176" s="71"/>
      <c r="L176" s="71">
        <v>5.4</v>
      </c>
      <c r="M176" s="71"/>
    </row>
    <row r="177" spans="1:13" x14ac:dyDescent="0.2">
      <c r="A177" s="61" t="s">
        <v>475</v>
      </c>
      <c r="B177" s="67">
        <v>3.71</v>
      </c>
      <c r="C177" s="68"/>
      <c r="D177" s="67"/>
      <c r="E177" s="66"/>
      <c r="F177" s="66"/>
      <c r="G177" s="69"/>
      <c r="H177" s="70"/>
      <c r="I177" s="71"/>
      <c r="J177" s="71"/>
      <c r="K177" s="71"/>
      <c r="L177" s="71"/>
      <c r="M177" s="71"/>
    </row>
    <row r="178" spans="1:13" x14ac:dyDescent="0.2">
      <c r="A178" s="61" t="s">
        <v>476</v>
      </c>
      <c r="B178" s="62">
        <v>5.65</v>
      </c>
      <c r="C178" s="63"/>
      <c r="D178" s="62"/>
      <c r="E178" s="61">
        <v>4092</v>
      </c>
      <c r="F178" s="61">
        <v>1.0029999999999999</v>
      </c>
      <c r="G178" s="64"/>
      <c r="H178" s="65">
        <f t="shared" si="43"/>
        <v>20.09</v>
      </c>
      <c r="I178" s="47"/>
      <c r="J178" s="47"/>
      <c r="K178" s="47"/>
      <c r="L178" s="47">
        <v>4.91</v>
      </c>
      <c r="M178" s="47"/>
    </row>
    <row r="179" spans="1:13" x14ac:dyDescent="0.2">
      <c r="A179" s="61" t="s">
        <v>477</v>
      </c>
      <c r="B179" s="62">
        <v>5.46</v>
      </c>
      <c r="C179" s="63"/>
      <c r="D179" s="62"/>
      <c r="E179" s="61"/>
      <c r="F179" s="61"/>
      <c r="G179" s="64"/>
      <c r="H179" s="65"/>
      <c r="I179" s="47"/>
      <c r="J179" s="47"/>
      <c r="K179" s="47"/>
      <c r="L179" s="47"/>
      <c r="M179" s="47"/>
    </row>
    <row r="180" spans="1:13" x14ac:dyDescent="0.2">
      <c r="A180" s="66" t="s">
        <v>478</v>
      </c>
      <c r="B180" s="67">
        <f>((+F180/1000)*E180)*0.85</f>
        <v>3.5408075999999999</v>
      </c>
      <c r="C180" s="68">
        <f>+$C$155*0.85</f>
        <v>0.32300000000000001</v>
      </c>
      <c r="D180" s="67"/>
      <c r="E180" s="66">
        <v>4092</v>
      </c>
      <c r="F180" s="66">
        <v>1.018</v>
      </c>
      <c r="G180" s="69"/>
      <c r="H180" s="70">
        <f t="shared" si="43"/>
        <v>20.09</v>
      </c>
      <c r="I180" s="71"/>
      <c r="J180" s="71"/>
      <c r="K180" s="71"/>
      <c r="L180" s="71">
        <v>4.91</v>
      </c>
      <c r="M180" s="71"/>
    </row>
    <row r="181" spans="1:13" x14ac:dyDescent="0.2">
      <c r="A181" s="61" t="s">
        <v>479</v>
      </c>
      <c r="B181" s="62">
        <v>1.05</v>
      </c>
      <c r="C181" s="63"/>
      <c r="D181" s="62"/>
      <c r="E181" s="61">
        <v>650</v>
      </c>
      <c r="F181" s="61">
        <v>0.84</v>
      </c>
      <c r="G181" s="64"/>
      <c r="H181" s="65">
        <f t="shared" si="43"/>
        <v>3.85</v>
      </c>
      <c r="I181" s="47"/>
      <c r="J181" s="47"/>
      <c r="K181" s="47"/>
      <c r="L181" s="47">
        <v>5.92</v>
      </c>
      <c r="M181" s="47"/>
    </row>
    <row r="182" spans="1:13" x14ac:dyDescent="0.2">
      <c r="A182" s="61" t="s">
        <v>480</v>
      </c>
      <c r="B182" s="62">
        <v>1.32</v>
      </c>
      <c r="C182" s="63"/>
      <c r="D182" s="62"/>
      <c r="E182" s="61">
        <v>682</v>
      </c>
      <c r="F182" s="61">
        <v>0.84</v>
      </c>
      <c r="G182" s="64"/>
      <c r="H182" s="65">
        <f t="shared" si="43"/>
        <v>4.04</v>
      </c>
      <c r="I182" s="47"/>
      <c r="J182" s="47"/>
      <c r="K182" s="47"/>
      <c r="L182" s="47">
        <v>5.92</v>
      </c>
      <c r="M182" s="47"/>
    </row>
    <row r="183" spans="1:13" x14ac:dyDescent="0.2">
      <c r="A183" s="61" t="s">
        <v>481</v>
      </c>
      <c r="B183" s="62">
        <v>1.54</v>
      </c>
      <c r="C183" s="63"/>
      <c r="D183" s="62"/>
      <c r="E183" s="61">
        <v>1000</v>
      </c>
      <c r="F183" s="61">
        <v>1.48</v>
      </c>
      <c r="G183" s="64"/>
      <c r="H183" s="65"/>
      <c r="I183" s="47"/>
      <c r="J183" s="47"/>
      <c r="K183" s="47"/>
      <c r="L183" s="47"/>
      <c r="M183" s="47"/>
    </row>
    <row r="184" spans="1:13" x14ac:dyDescent="0.2">
      <c r="A184" s="61" t="s">
        <v>482</v>
      </c>
      <c r="B184" s="62">
        <v>2.0299999999999998</v>
      </c>
      <c r="C184" s="63"/>
      <c r="D184" s="62"/>
      <c r="E184" s="61">
        <v>1000</v>
      </c>
      <c r="F184" s="61">
        <v>1.48</v>
      </c>
      <c r="G184" s="64"/>
      <c r="H184" s="65"/>
      <c r="I184" s="47"/>
      <c r="J184" s="47"/>
      <c r="K184" s="47"/>
      <c r="L184" s="47"/>
      <c r="M184" s="47"/>
    </row>
    <row r="185" spans="1:13" x14ac:dyDescent="0.2">
      <c r="A185" s="61" t="s">
        <v>483</v>
      </c>
      <c r="B185" s="62">
        <v>2.63</v>
      </c>
      <c r="C185" s="63"/>
      <c r="D185" s="62"/>
      <c r="E185" s="61">
        <v>1800</v>
      </c>
      <c r="F185" s="61">
        <v>2.63</v>
      </c>
      <c r="G185" s="64"/>
      <c r="H185" s="65"/>
      <c r="I185" s="47"/>
      <c r="J185" s="47"/>
      <c r="K185" s="47"/>
      <c r="L185" s="47"/>
      <c r="M185" s="47"/>
    </row>
    <row r="186" spans="1:13" x14ac:dyDescent="0.2">
      <c r="A186" s="66" t="s">
        <v>484</v>
      </c>
      <c r="B186" s="67">
        <f>(+F186/1000)*E186</f>
        <v>0.74295</v>
      </c>
      <c r="C186" s="68">
        <f>+$C$155*0.667</f>
        <v>0.25346000000000002</v>
      </c>
      <c r="D186" s="67"/>
      <c r="E186" s="66">
        <v>650</v>
      </c>
      <c r="F186" s="66">
        <v>1.143</v>
      </c>
      <c r="G186" s="69"/>
      <c r="H186" s="70">
        <f t="shared" ref="H186:H253" si="62">ROUND((L186/1000)*E186,2)</f>
        <v>3.85</v>
      </c>
      <c r="I186" s="71"/>
      <c r="J186" s="71"/>
      <c r="K186" s="71"/>
      <c r="L186" s="71">
        <v>5.92</v>
      </c>
      <c r="M186" s="71"/>
    </row>
    <row r="187" spans="1:13" x14ac:dyDescent="0.2">
      <c r="A187" s="64" t="s">
        <v>885</v>
      </c>
      <c r="B187" s="62">
        <f t="shared" ref="B187" si="63">ROUND((+F187/1000)*E187,2)+ROUND((G187/1000)*E187,2)</f>
        <v>0.27</v>
      </c>
      <c r="C187" s="63">
        <v>0.38</v>
      </c>
      <c r="D187" s="62">
        <v>0.67</v>
      </c>
      <c r="E187" s="61">
        <v>250</v>
      </c>
      <c r="F187" s="61">
        <v>0.69899999999999995</v>
      </c>
      <c r="G187" s="64">
        <v>0.41799999999999998</v>
      </c>
      <c r="H187" s="65">
        <f t="shared" ref="H187" si="64">ROUND((L187/1000)*E187,2)</f>
        <v>1.52</v>
      </c>
      <c r="I187" s="47"/>
      <c r="J187" s="47"/>
      <c r="K187" s="47"/>
      <c r="L187" s="47">
        <v>6.08</v>
      </c>
      <c r="M187" s="47"/>
    </row>
    <row r="188" spans="1:13" x14ac:dyDescent="0.2">
      <c r="A188" s="64" t="s">
        <v>685</v>
      </c>
      <c r="B188" s="62">
        <f t="shared" ref="B188:B253" si="65">ROUND((+F188/1000)*E188,2)+ROUND((G188/1000)*E188,2)</f>
        <v>0.37</v>
      </c>
      <c r="C188" s="63">
        <v>0.38</v>
      </c>
      <c r="D188" s="62">
        <v>0.67</v>
      </c>
      <c r="E188" s="61">
        <v>330</v>
      </c>
      <c r="F188" s="61">
        <v>0.69899999999999995</v>
      </c>
      <c r="G188" s="64">
        <v>0.41799999999999998</v>
      </c>
      <c r="H188" s="65">
        <f t="shared" si="62"/>
        <v>2.0099999999999998</v>
      </c>
      <c r="I188" s="47"/>
      <c r="J188" s="47"/>
      <c r="K188" s="47"/>
      <c r="L188" s="47">
        <v>6.08</v>
      </c>
      <c r="M188" s="47"/>
    </row>
    <row r="189" spans="1:13" x14ac:dyDescent="0.2">
      <c r="A189" s="64" t="s">
        <v>857</v>
      </c>
      <c r="B189" s="62">
        <f t="shared" ref="B189" si="66">ROUND((+F189/1000)*E189,2)+ROUND((G189/1000)*E189,2)</f>
        <v>0.38</v>
      </c>
      <c r="C189" s="63">
        <v>0.38</v>
      </c>
      <c r="D189" s="62">
        <v>0.67</v>
      </c>
      <c r="E189" s="61">
        <v>341</v>
      </c>
      <c r="F189" s="61">
        <v>0.69899999999999995</v>
      </c>
      <c r="G189" s="64">
        <v>0.41799999999999998</v>
      </c>
      <c r="H189" s="65">
        <f t="shared" ref="H189" si="67">ROUND((L189/1000)*E189,2)</f>
        <v>2.0699999999999998</v>
      </c>
      <c r="I189" s="47"/>
      <c r="J189" s="47"/>
      <c r="K189" s="47"/>
      <c r="L189" s="47">
        <v>6.08</v>
      </c>
      <c r="M189" s="47"/>
    </row>
    <row r="190" spans="1:13" x14ac:dyDescent="0.2">
      <c r="A190" s="64" t="s">
        <v>686</v>
      </c>
      <c r="B190" s="62">
        <f>ROUND((+F190/1000)*E190,2)+ROUND((G190/1000)*E190,2)</f>
        <v>0.4</v>
      </c>
      <c r="C190" s="63">
        <v>0.38</v>
      </c>
      <c r="D190" s="62">
        <v>0.67</v>
      </c>
      <c r="E190" s="61">
        <v>355</v>
      </c>
      <c r="F190" s="61">
        <v>0.69899999999999995</v>
      </c>
      <c r="G190" s="64">
        <v>0.41799999999999998</v>
      </c>
      <c r="H190" s="65">
        <f>ROUND((L190/1000)*E190,2)</f>
        <v>2.16</v>
      </c>
      <c r="I190" s="47"/>
      <c r="J190" s="47"/>
      <c r="K190" s="47"/>
      <c r="L190" s="47">
        <v>6.08</v>
      </c>
      <c r="M190" s="47"/>
    </row>
    <row r="191" spans="1:13" x14ac:dyDescent="0.2">
      <c r="A191" s="64" t="s">
        <v>687</v>
      </c>
      <c r="B191" s="62">
        <f t="shared" si="65"/>
        <v>0.42000000000000004</v>
      </c>
      <c r="C191" s="63">
        <v>0.38</v>
      </c>
      <c r="D191" s="62">
        <v>0.67</v>
      </c>
      <c r="E191" s="61">
        <v>375</v>
      </c>
      <c r="F191" s="61">
        <v>0.69899999999999995</v>
      </c>
      <c r="G191" s="64">
        <v>0.41799999999999998</v>
      </c>
      <c r="H191" s="65">
        <f t="shared" si="62"/>
        <v>2.2799999999999998</v>
      </c>
      <c r="I191" s="47"/>
      <c r="J191" s="47"/>
      <c r="K191" s="47"/>
      <c r="L191" s="47">
        <v>6.08</v>
      </c>
      <c r="M191" s="47"/>
    </row>
    <row r="192" spans="1:13" x14ac:dyDescent="0.2">
      <c r="A192" s="64" t="s">
        <v>688</v>
      </c>
      <c r="B192" s="62">
        <f t="shared" si="65"/>
        <v>0.49</v>
      </c>
      <c r="C192" s="63">
        <v>0.38</v>
      </c>
      <c r="D192" s="62">
        <v>0.67</v>
      </c>
      <c r="E192" s="61">
        <v>440</v>
      </c>
      <c r="F192" s="61">
        <v>0.69899999999999995</v>
      </c>
      <c r="G192" s="64">
        <v>0.41799999999999998</v>
      </c>
      <c r="H192" s="65">
        <f>ROUND((L192/1000)*E192,2)</f>
        <v>2.68</v>
      </c>
      <c r="I192" s="47"/>
      <c r="J192" s="47"/>
      <c r="K192" s="47"/>
      <c r="L192" s="47">
        <v>6.08</v>
      </c>
      <c r="M192" s="47"/>
    </row>
    <row r="193" spans="1:13" x14ac:dyDescent="0.2">
      <c r="A193" s="64" t="s">
        <v>689</v>
      </c>
      <c r="B193" s="62">
        <f>ROUND((+F193/1000)*E193,2)+ROUND((G193/1000)*E193,2)</f>
        <v>0.53</v>
      </c>
      <c r="C193" s="63">
        <v>0.38</v>
      </c>
      <c r="D193" s="62">
        <v>0.67</v>
      </c>
      <c r="E193" s="61">
        <v>473</v>
      </c>
      <c r="F193" s="61">
        <v>0.69899999999999995</v>
      </c>
      <c r="G193" s="64">
        <v>0.41799999999999998</v>
      </c>
      <c r="H193" s="65">
        <f t="shared" si="62"/>
        <v>2.88</v>
      </c>
      <c r="I193" s="47"/>
      <c r="J193" s="47"/>
      <c r="K193" s="47"/>
      <c r="L193" s="47">
        <v>6.08</v>
      </c>
      <c r="M193" s="47"/>
    </row>
    <row r="194" spans="1:13" x14ac:dyDescent="0.2">
      <c r="A194" s="64" t="s">
        <v>690</v>
      </c>
      <c r="B194" s="62">
        <f t="shared" si="65"/>
        <v>0.55999999999999994</v>
      </c>
      <c r="C194" s="63">
        <v>0.38</v>
      </c>
      <c r="D194" s="62">
        <v>0.67</v>
      </c>
      <c r="E194" s="61">
        <v>500</v>
      </c>
      <c r="F194" s="61">
        <v>0.69899999999999995</v>
      </c>
      <c r="G194" s="64">
        <v>0.41799999999999998</v>
      </c>
      <c r="H194" s="65">
        <f t="shared" si="62"/>
        <v>3.04</v>
      </c>
      <c r="I194" s="47"/>
      <c r="J194" s="47"/>
      <c r="K194" s="47"/>
      <c r="L194" s="47">
        <v>6.08</v>
      </c>
      <c r="M194" s="47"/>
    </row>
    <row r="195" spans="1:13" x14ac:dyDescent="0.2">
      <c r="A195" s="64" t="s">
        <v>855</v>
      </c>
      <c r="B195" s="62">
        <f t="shared" ref="B195" si="68">ROUND((+F195/1000)*E195,2)+ROUND((G195/1000)*E195,2)</f>
        <v>0.61</v>
      </c>
      <c r="C195" s="63">
        <v>0.38</v>
      </c>
      <c r="D195" s="62">
        <v>0.67</v>
      </c>
      <c r="E195" s="61">
        <v>550</v>
      </c>
      <c r="F195" s="61">
        <v>0.69899999999999995</v>
      </c>
      <c r="G195" s="64">
        <v>0.41799999999999998</v>
      </c>
      <c r="H195" s="65">
        <f t="shared" ref="H195" si="69">ROUND((L195/1000)*E195,2)</f>
        <v>3.34</v>
      </c>
      <c r="I195" s="47"/>
      <c r="J195" s="47"/>
      <c r="K195" s="47"/>
      <c r="L195" s="47">
        <v>6.08</v>
      </c>
      <c r="M195" s="47"/>
    </row>
    <row r="196" spans="1:13" x14ac:dyDescent="0.2">
      <c r="A196" s="64" t="s">
        <v>887</v>
      </c>
      <c r="B196" s="62">
        <f t="shared" ref="B196" si="70">ROUND((+F196/1000)*E196,2)+ROUND((G196/1000)*E196,2)</f>
        <v>0.66999999999999993</v>
      </c>
      <c r="C196" s="63">
        <v>0.38</v>
      </c>
      <c r="D196" s="62">
        <v>0.67</v>
      </c>
      <c r="E196" s="61">
        <v>600</v>
      </c>
      <c r="F196" s="61">
        <v>0.69899999999999995</v>
      </c>
      <c r="G196" s="64">
        <v>0.41799999999999998</v>
      </c>
      <c r="H196" s="65">
        <f t="shared" ref="H196" si="71">ROUND((L196/1000)*E196,2)</f>
        <v>3.65</v>
      </c>
      <c r="I196" s="47"/>
      <c r="J196" s="47"/>
      <c r="K196" s="47"/>
      <c r="L196" s="47">
        <v>6.08</v>
      </c>
      <c r="M196" s="47"/>
    </row>
    <row r="197" spans="1:13" x14ac:dyDescent="0.2">
      <c r="A197" s="64" t="s">
        <v>691</v>
      </c>
      <c r="B197" s="62">
        <f t="shared" si="65"/>
        <v>0.72</v>
      </c>
      <c r="C197" s="63">
        <v>0.38</v>
      </c>
      <c r="D197" s="62">
        <v>0.67</v>
      </c>
      <c r="E197" s="61">
        <v>650</v>
      </c>
      <c r="F197" s="61">
        <v>0.69899999999999995</v>
      </c>
      <c r="G197" s="64">
        <v>0.41799999999999998</v>
      </c>
      <c r="H197" s="65">
        <f t="shared" si="62"/>
        <v>3.95</v>
      </c>
      <c r="I197" s="47"/>
      <c r="J197" s="47"/>
      <c r="K197" s="47"/>
      <c r="L197" s="47">
        <v>6.08</v>
      </c>
      <c r="M197" s="47"/>
    </row>
    <row r="198" spans="1:13" x14ac:dyDescent="0.2">
      <c r="A198" s="64" t="s">
        <v>835</v>
      </c>
      <c r="B198" s="62">
        <f t="shared" ref="B198" si="72">ROUND((+F198/1000)*E198,2)+ROUND((G198/1000)*E198,2)</f>
        <v>0.74</v>
      </c>
      <c r="C198" s="63">
        <v>0.38</v>
      </c>
      <c r="D198" s="62">
        <v>0.67</v>
      </c>
      <c r="E198" s="61">
        <v>660</v>
      </c>
      <c r="F198" s="61">
        <v>0.69899999999999995</v>
      </c>
      <c r="G198" s="64">
        <v>0.41799999999999998</v>
      </c>
      <c r="H198" s="65">
        <f t="shared" ref="H198" si="73">ROUND((L198/1000)*E198,2)</f>
        <v>4.01</v>
      </c>
      <c r="I198" s="47"/>
      <c r="J198" s="47"/>
      <c r="K198" s="47"/>
      <c r="L198" s="47">
        <v>6.08</v>
      </c>
      <c r="M198" s="47"/>
    </row>
    <row r="199" spans="1:13" x14ac:dyDescent="0.2">
      <c r="A199" s="64" t="s">
        <v>692</v>
      </c>
      <c r="B199" s="62">
        <f t="shared" si="65"/>
        <v>0.79</v>
      </c>
      <c r="C199" s="63">
        <v>0.38</v>
      </c>
      <c r="D199" s="62">
        <v>0.67</v>
      </c>
      <c r="E199" s="61">
        <v>710</v>
      </c>
      <c r="F199" s="61">
        <v>0.69299999999999995</v>
      </c>
      <c r="G199" s="64">
        <v>0.41799999999999998</v>
      </c>
      <c r="H199" s="65">
        <f t="shared" si="62"/>
        <v>4.28</v>
      </c>
      <c r="I199" s="47"/>
      <c r="J199" s="47"/>
      <c r="K199" s="47"/>
      <c r="L199" s="47">
        <v>6.03</v>
      </c>
      <c r="M199" s="47"/>
    </row>
    <row r="200" spans="1:13" x14ac:dyDescent="0.2">
      <c r="A200" s="64" t="s">
        <v>693</v>
      </c>
      <c r="B200" s="62">
        <f t="shared" si="65"/>
        <v>0.83000000000000007</v>
      </c>
      <c r="C200" s="63">
        <v>0.38</v>
      </c>
      <c r="D200" s="62">
        <v>0.67</v>
      </c>
      <c r="E200" s="61">
        <v>750</v>
      </c>
      <c r="F200" s="61">
        <v>0.69299999999999995</v>
      </c>
      <c r="G200" s="64">
        <v>0.41799999999999998</v>
      </c>
      <c r="H200" s="65">
        <f>ROUND((L200/1000)*E200,2)</f>
        <v>4.5199999999999996</v>
      </c>
      <c r="I200" s="47"/>
      <c r="J200" s="47"/>
      <c r="K200" s="47"/>
      <c r="L200" s="47">
        <v>6.03</v>
      </c>
      <c r="M200" s="47"/>
    </row>
    <row r="201" spans="1:13" x14ac:dyDescent="0.2">
      <c r="A201" s="64" t="s">
        <v>884</v>
      </c>
      <c r="B201" s="62">
        <f t="shared" ref="B201" si="74">ROUND((+F201/1000)*E201,2)+ROUND((G201/1000)*E201,2)</f>
        <v>0.85000000000000009</v>
      </c>
      <c r="C201" s="63">
        <v>0.38</v>
      </c>
      <c r="D201" s="62">
        <v>0.67</v>
      </c>
      <c r="E201" s="61">
        <v>765</v>
      </c>
      <c r="F201" s="61">
        <v>0.69299999999999995</v>
      </c>
      <c r="G201" s="64">
        <v>0.41799999999999998</v>
      </c>
      <c r="H201" s="65">
        <f>ROUND((L201/1000)*E201,2)</f>
        <v>4.6100000000000003</v>
      </c>
      <c r="I201" s="47"/>
      <c r="J201" s="47"/>
      <c r="K201" s="47"/>
      <c r="L201" s="47">
        <v>6.03</v>
      </c>
      <c r="M201" s="47"/>
    </row>
    <row r="202" spans="1:13" x14ac:dyDescent="0.2">
      <c r="A202" s="64" t="s">
        <v>694</v>
      </c>
      <c r="B202" s="62">
        <f t="shared" si="65"/>
        <v>0.98</v>
      </c>
      <c r="C202" s="63">
        <v>0.38</v>
      </c>
      <c r="D202" s="62">
        <v>0.67</v>
      </c>
      <c r="E202" s="61">
        <v>880</v>
      </c>
      <c r="F202" s="61">
        <v>0.69299999999999995</v>
      </c>
      <c r="G202" s="64">
        <v>0.41799999999999998</v>
      </c>
      <c r="H202" s="65">
        <f t="shared" si="62"/>
        <v>5.31</v>
      </c>
      <c r="I202" s="47"/>
      <c r="J202" s="47"/>
      <c r="K202" s="47"/>
      <c r="L202" s="47">
        <v>6.03</v>
      </c>
      <c r="M202" s="47"/>
    </row>
    <row r="203" spans="1:13" x14ac:dyDescent="0.2">
      <c r="A203" s="64" t="s">
        <v>747</v>
      </c>
      <c r="B203" s="62">
        <f>ROUND((+F203/1000)*E203,2)+ROUND((G203/1000)*E203,2)</f>
        <v>1.04</v>
      </c>
      <c r="C203" s="63">
        <v>0.38</v>
      </c>
      <c r="D203" s="62">
        <v>0.67</v>
      </c>
      <c r="E203" s="61">
        <v>944</v>
      </c>
      <c r="F203" s="61">
        <v>0.69299999999999995</v>
      </c>
      <c r="G203" s="64">
        <v>0.41799999999999998</v>
      </c>
      <c r="H203" s="65">
        <f>ROUND((L203/1000)*E203,2)</f>
        <v>5.69</v>
      </c>
      <c r="I203" s="47"/>
      <c r="J203" s="47"/>
      <c r="K203" s="47"/>
      <c r="L203" s="47">
        <v>6.03</v>
      </c>
      <c r="M203" s="47"/>
    </row>
    <row r="204" spans="1:13" x14ac:dyDescent="0.2">
      <c r="A204" s="64" t="s">
        <v>864</v>
      </c>
      <c r="B204" s="62">
        <f>ROUND((+F204/1000)*E204,2)+ROUND((G204/1000)*E204,2)</f>
        <v>1.06</v>
      </c>
      <c r="C204" s="63">
        <v>0.38</v>
      </c>
      <c r="D204" s="62">
        <v>0.67</v>
      </c>
      <c r="E204" s="61">
        <v>946</v>
      </c>
      <c r="F204" s="61">
        <v>0.69299999999999995</v>
      </c>
      <c r="G204" s="64">
        <v>0.41799999999999998</v>
      </c>
      <c r="H204" s="65">
        <f>ROUND((L204/1000)*E204,2)</f>
        <v>5.7</v>
      </c>
      <c r="I204" s="47"/>
      <c r="J204" s="47"/>
      <c r="K204" s="47"/>
      <c r="L204" s="47">
        <v>6.03</v>
      </c>
      <c r="M204" s="47"/>
    </row>
    <row r="205" spans="1:13" x14ac:dyDescent="0.2">
      <c r="A205" s="64" t="s">
        <v>695</v>
      </c>
      <c r="B205" s="62">
        <f t="shared" si="65"/>
        <v>1.0999999999999999</v>
      </c>
      <c r="C205" s="63">
        <v>0.38</v>
      </c>
      <c r="D205" s="62">
        <v>0.67</v>
      </c>
      <c r="E205" s="61">
        <v>990</v>
      </c>
      <c r="F205" s="61">
        <v>0.69299999999999995</v>
      </c>
      <c r="G205" s="64">
        <v>0.41799999999999998</v>
      </c>
      <c r="H205" s="65">
        <f t="shared" si="62"/>
        <v>5.97</v>
      </c>
      <c r="I205" s="47"/>
      <c r="J205" s="47"/>
      <c r="K205" s="47"/>
      <c r="L205" s="47">
        <v>6.03</v>
      </c>
      <c r="M205" s="47"/>
    </row>
    <row r="206" spans="1:13" x14ac:dyDescent="0.2">
      <c r="A206" s="64" t="s">
        <v>696</v>
      </c>
      <c r="B206" s="62">
        <f t="shared" si="65"/>
        <v>1.1099999999999999</v>
      </c>
      <c r="C206" s="63">
        <v>0.38</v>
      </c>
      <c r="D206" s="62">
        <v>0.67</v>
      </c>
      <c r="E206" s="61">
        <v>1000</v>
      </c>
      <c r="F206" s="61">
        <v>0.69299999999999995</v>
      </c>
      <c r="G206" s="64">
        <v>0.41799999999999998</v>
      </c>
      <c r="H206" s="65">
        <f t="shared" si="62"/>
        <v>6.03</v>
      </c>
      <c r="I206" s="47"/>
      <c r="J206" s="47"/>
      <c r="K206" s="47"/>
      <c r="L206" s="47">
        <v>6.03</v>
      </c>
      <c r="M206" s="47"/>
    </row>
    <row r="207" spans="1:13" x14ac:dyDescent="0.2">
      <c r="A207" s="64" t="s">
        <v>829</v>
      </c>
      <c r="B207" s="62">
        <f t="shared" ref="B207" si="75">ROUND((+F207/1000)*E207,2)+ROUND((G207/1000)*E207,2)</f>
        <v>1.22</v>
      </c>
      <c r="C207" s="63">
        <v>0.38</v>
      </c>
      <c r="D207" s="62">
        <v>0.67</v>
      </c>
      <c r="E207" s="61">
        <v>1100</v>
      </c>
      <c r="F207" s="61">
        <v>0.69299999999999995</v>
      </c>
      <c r="G207" s="64">
        <v>0.41799999999999998</v>
      </c>
      <c r="H207" s="65">
        <f t="shared" ref="H207" si="76">ROUND((L207/1000)*E207,2)</f>
        <v>6.63</v>
      </c>
      <c r="I207" s="47"/>
      <c r="J207" s="47"/>
      <c r="K207" s="47"/>
      <c r="L207" s="47">
        <v>6.03</v>
      </c>
      <c r="M207" s="47"/>
    </row>
    <row r="208" spans="1:13" x14ac:dyDescent="0.2">
      <c r="A208" s="64" t="s">
        <v>697</v>
      </c>
      <c r="B208" s="62">
        <f t="shared" si="65"/>
        <v>1.23</v>
      </c>
      <c r="C208" s="63">
        <v>0.38</v>
      </c>
      <c r="D208" s="62">
        <v>0.67</v>
      </c>
      <c r="E208" s="61">
        <v>1110</v>
      </c>
      <c r="F208" s="61">
        <v>0.69299999999999995</v>
      </c>
      <c r="G208" s="64">
        <v>0.41799999999999998</v>
      </c>
      <c r="H208" s="65">
        <f t="shared" si="62"/>
        <v>6.69</v>
      </c>
      <c r="I208" s="47"/>
      <c r="J208" s="47"/>
      <c r="K208" s="47"/>
      <c r="L208" s="47">
        <v>6.03</v>
      </c>
      <c r="M208" s="47"/>
    </row>
    <row r="209" spans="1:13" x14ac:dyDescent="0.2">
      <c r="A209" s="64" t="s">
        <v>698</v>
      </c>
      <c r="B209" s="62">
        <f>ROUND((+F209/1000)*E209,2)+ROUND((G209/1000)*E209,2)</f>
        <v>1.31</v>
      </c>
      <c r="C209" s="63">
        <v>0.38</v>
      </c>
      <c r="D209" s="62">
        <v>0.67</v>
      </c>
      <c r="E209" s="61">
        <v>1180</v>
      </c>
      <c r="F209" s="61">
        <v>0.69299999999999995</v>
      </c>
      <c r="G209" s="64">
        <v>0.41799999999999998</v>
      </c>
      <c r="H209" s="65">
        <f t="shared" ref="H209:H215" si="77">ROUND((L209/1000)*E209,2)</f>
        <v>7.12</v>
      </c>
      <c r="I209" s="47"/>
      <c r="J209" s="47"/>
      <c r="K209" s="47"/>
      <c r="L209" s="47">
        <v>6.03</v>
      </c>
      <c r="M209" s="47"/>
    </row>
    <row r="210" spans="1:13" x14ac:dyDescent="0.2">
      <c r="A210" s="64" t="s">
        <v>749</v>
      </c>
      <c r="B210" s="62">
        <f>ROUND((+F210/1000)*E210,2)+ROUND((G210/1000)*E210,2)</f>
        <v>1.44</v>
      </c>
      <c r="C210" s="63">
        <v>0.38</v>
      </c>
      <c r="D210" s="62">
        <v>0.67</v>
      </c>
      <c r="E210" s="61">
        <v>1300</v>
      </c>
      <c r="F210" s="61">
        <v>0.69299999999999995</v>
      </c>
      <c r="G210" s="64">
        <v>0.41799999999999998</v>
      </c>
      <c r="H210" s="65">
        <f t="shared" si="77"/>
        <v>7.84</v>
      </c>
      <c r="I210" s="47"/>
      <c r="J210" s="47"/>
      <c r="K210" s="47"/>
      <c r="L210" s="47">
        <v>6.03</v>
      </c>
      <c r="M210" s="47"/>
    </row>
    <row r="211" spans="1:13" x14ac:dyDescent="0.2">
      <c r="A211" s="64" t="s">
        <v>699</v>
      </c>
      <c r="B211" s="62">
        <f t="shared" si="65"/>
        <v>1.46</v>
      </c>
      <c r="C211" s="63">
        <v>0.38</v>
      </c>
      <c r="D211" s="62">
        <v>0.67</v>
      </c>
      <c r="E211" s="61">
        <v>1320</v>
      </c>
      <c r="F211" s="61">
        <v>0.69299999999999995</v>
      </c>
      <c r="G211" s="64">
        <v>0.41799999999999998</v>
      </c>
      <c r="H211" s="65">
        <f t="shared" si="77"/>
        <v>7.96</v>
      </c>
      <c r="I211" s="47"/>
      <c r="J211" s="47"/>
      <c r="K211" s="47"/>
      <c r="L211" s="47">
        <v>6.03</v>
      </c>
      <c r="M211" s="47"/>
    </row>
    <row r="212" spans="1:13" x14ac:dyDescent="0.2">
      <c r="A212" s="64" t="s">
        <v>844</v>
      </c>
      <c r="B212" s="62">
        <f t="shared" ref="B212:B213" si="78">ROUND((+F212/1000)*E212,2)+ROUND((G212/1000)*E212,2)</f>
        <v>1.52</v>
      </c>
      <c r="C212" s="63">
        <v>0.38</v>
      </c>
      <c r="D212" s="62">
        <v>0.67</v>
      </c>
      <c r="E212" s="61">
        <v>1364</v>
      </c>
      <c r="F212" s="61">
        <v>0.69299999999999995</v>
      </c>
      <c r="G212" s="64">
        <v>0.41799999999999998</v>
      </c>
      <c r="H212" s="65">
        <f t="shared" si="77"/>
        <v>8.2200000000000006</v>
      </c>
      <c r="I212" s="47"/>
      <c r="J212" s="47"/>
      <c r="K212" s="47"/>
      <c r="L212" s="47">
        <v>6.03</v>
      </c>
      <c r="M212" s="47"/>
    </row>
    <row r="213" spans="1:13" x14ac:dyDescent="0.2">
      <c r="A213" s="64" t="s">
        <v>1033</v>
      </c>
      <c r="B213" s="62">
        <f t="shared" si="78"/>
        <v>1.5699999999999998</v>
      </c>
      <c r="C213" s="63">
        <v>0.38</v>
      </c>
      <c r="D213" s="62">
        <v>0.67</v>
      </c>
      <c r="E213" s="61">
        <v>1419</v>
      </c>
      <c r="F213" s="61">
        <v>0.69299999999999995</v>
      </c>
      <c r="G213" s="64">
        <v>0.41799999999999998</v>
      </c>
      <c r="H213" s="65">
        <f t="shared" ref="H213" si="79">ROUND((L213/1000)*E213,2)</f>
        <v>8.56</v>
      </c>
      <c r="I213" s="47"/>
      <c r="J213" s="47"/>
      <c r="K213" s="47"/>
      <c r="L213" s="47">
        <v>6.03</v>
      </c>
      <c r="M213" s="47"/>
    </row>
    <row r="214" spans="1:13" x14ac:dyDescent="0.2">
      <c r="A214" s="64" t="s">
        <v>700</v>
      </c>
      <c r="B214" s="62">
        <f t="shared" si="65"/>
        <v>1.5699999999999998</v>
      </c>
      <c r="C214" s="63">
        <v>0.38</v>
      </c>
      <c r="D214" s="62">
        <v>0.67</v>
      </c>
      <c r="E214" s="61">
        <v>1420</v>
      </c>
      <c r="F214" s="61">
        <v>0.69299999999999995</v>
      </c>
      <c r="G214" s="64">
        <v>0.41799999999999998</v>
      </c>
      <c r="H214" s="65">
        <f t="shared" si="77"/>
        <v>8.56</v>
      </c>
      <c r="I214" s="47"/>
      <c r="J214" s="47"/>
      <c r="K214" s="47"/>
      <c r="L214" s="47">
        <v>6.03</v>
      </c>
      <c r="M214" s="47"/>
    </row>
    <row r="215" spans="1:13" x14ac:dyDescent="0.2">
      <c r="A215" s="64" t="s">
        <v>701</v>
      </c>
      <c r="B215" s="62">
        <f t="shared" si="65"/>
        <v>1.67</v>
      </c>
      <c r="C215" s="63">
        <v>0.38</v>
      </c>
      <c r="D215" s="62">
        <v>0.67</v>
      </c>
      <c r="E215" s="61">
        <v>1500</v>
      </c>
      <c r="F215" s="61">
        <v>0.69299999999999995</v>
      </c>
      <c r="G215" s="64">
        <v>0.41799999999999998</v>
      </c>
      <c r="H215" s="65">
        <f t="shared" si="77"/>
        <v>9.0500000000000007</v>
      </c>
      <c r="I215" s="47"/>
      <c r="J215" s="47"/>
      <c r="K215" s="47"/>
      <c r="L215" s="47">
        <v>6.03</v>
      </c>
      <c r="M215" s="47"/>
    </row>
    <row r="216" spans="1:13" x14ac:dyDescent="0.2">
      <c r="A216" s="64" t="s">
        <v>702</v>
      </c>
      <c r="B216" s="62">
        <f t="shared" si="65"/>
        <v>1.96</v>
      </c>
      <c r="C216" s="63">
        <v>0.38</v>
      </c>
      <c r="D216" s="62">
        <v>0.67</v>
      </c>
      <c r="E216" s="61">
        <v>1760</v>
      </c>
      <c r="F216" s="61">
        <v>0.69299999999999995</v>
      </c>
      <c r="G216" s="64">
        <v>0.41799999999999998</v>
      </c>
      <c r="H216" s="65">
        <f t="shared" si="62"/>
        <v>10.61</v>
      </c>
      <c r="I216" s="47"/>
      <c r="J216" s="47"/>
      <c r="K216" s="47"/>
      <c r="L216" s="47">
        <v>6.03</v>
      </c>
      <c r="M216" s="47"/>
    </row>
    <row r="217" spans="1:13" x14ac:dyDescent="0.2">
      <c r="A217" s="64" t="s">
        <v>703</v>
      </c>
      <c r="B217" s="62">
        <f>ROUND((+F217/1000)*E217,2)+ROUND((G217/1000)*E217,2)</f>
        <v>2.1</v>
      </c>
      <c r="C217" s="63">
        <v>0.38</v>
      </c>
      <c r="D217" s="62">
        <v>0.67</v>
      </c>
      <c r="E217" s="61">
        <v>1892</v>
      </c>
      <c r="F217" s="61">
        <v>0.69299999999999995</v>
      </c>
      <c r="G217" s="64">
        <v>0.41799999999999998</v>
      </c>
      <c r="H217" s="65">
        <f t="shared" si="62"/>
        <v>11.41</v>
      </c>
      <c r="I217" s="47"/>
      <c r="J217" s="47"/>
      <c r="K217" s="47"/>
      <c r="L217" s="47">
        <v>6.03</v>
      </c>
      <c r="M217" s="47"/>
    </row>
    <row r="218" spans="1:13" x14ac:dyDescent="0.2">
      <c r="A218" s="64" t="s">
        <v>879</v>
      </c>
      <c r="B218" s="62">
        <f t="shared" ref="B218" si="80">ROUND((+F218/1000)*E218,2)+ROUND((G218/1000)*E218,2)</f>
        <v>2.17</v>
      </c>
      <c r="C218" s="63">
        <v>0.38</v>
      </c>
      <c r="D218" s="62">
        <v>0.67</v>
      </c>
      <c r="E218" s="61">
        <v>1950</v>
      </c>
      <c r="F218" s="61">
        <v>0.69299999999999995</v>
      </c>
      <c r="G218" s="64">
        <v>0.41799999999999998</v>
      </c>
      <c r="H218" s="65">
        <f t="shared" ref="H218" si="81">ROUND((L218/1000)*E218,2)</f>
        <v>11.76</v>
      </c>
      <c r="I218" s="47"/>
      <c r="J218" s="47"/>
      <c r="K218" s="47"/>
      <c r="L218" s="47">
        <v>6.03</v>
      </c>
      <c r="M218" s="47"/>
    </row>
    <row r="219" spans="1:13" x14ac:dyDescent="0.2">
      <c r="A219" s="64" t="s">
        <v>704</v>
      </c>
      <c r="B219" s="62">
        <f t="shared" si="65"/>
        <v>2.2000000000000002</v>
      </c>
      <c r="C219" s="63">
        <v>0.38</v>
      </c>
      <c r="D219" s="62">
        <v>0.67</v>
      </c>
      <c r="E219" s="61">
        <v>1980</v>
      </c>
      <c r="F219" s="61">
        <v>0.69299999999999995</v>
      </c>
      <c r="G219" s="64">
        <v>0.41799999999999998</v>
      </c>
      <c r="H219" s="65">
        <f t="shared" si="62"/>
        <v>11.94</v>
      </c>
      <c r="I219" s="47"/>
      <c r="J219" s="47"/>
      <c r="K219" s="47"/>
      <c r="L219" s="47">
        <v>6.03</v>
      </c>
      <c r="M219" s="47"/>
    </row>
    <row r="220" spans="1:13" x14ac:dyDescent="0.2">
      <c r="A220" s="64" t="s">
        <v>705</v>
      </c>
      <c r="B220" s="62">
        <f>ROUND((+F220/1000)*E220,2)+ROUND((G220/1000)*E220,2)</f>
        <v>2.23</v>
      </c>
      <c r="C220" s="63">
        <v>0.38</v>
      </c>
      <c r="D220" s="62">
        <v>0.67</v>
      </c>
      <c r="E220" s="61">
        <v>2000</v>
      </c>
      <c r="F220" s="61">
        <v>0.69299999999999995</v>
      </c>
      <c r="G220" s="64">
        <v>0.41799999999999998</v>
      </c>
      <c r="H220" s="65">
        <f>ROUND((L220/1000)*E220,2)</f>
        <v>12.06</v>
      </c>
      <c r="I220" s="47"/>
      <c r="J220" s="47"/>
      <c r="K220" s="47"/>
      <c r="L220" s="47">
        <v>6.03</v>
      </c>
      <c r="M220" s="47"/>
    </row>
    <row r="221" spans="1:13" x14ac:dyDescent="0.2">
      <c r="A221" s="64" t="s">
        <v>707</v>
      </c>
      <c r="B221" s="62">
        <f t="shared" si="65"/>
        <v>2.2799999999999998</v>
      </c>
      <c r="C221" s="63">
        <v>0.38</v>
      </c>
      <c r="D221" s="62">
        <v>0.67</v>
      </c>
      <c r="E221" s="61">
        <v>2046</v>
      </c>
      <c r="F221" s="61">
        <v>0.69299999999999995</v>
      </c>
      <c r="G221" s="64">
        <v>0.41799999999999998</v>
      </c>
      <c r="H221" s="65">
        <f t="shared" si="62"/>
        <v>12.34</v>
      </c>
      <c r="I221" s="47"/>
      <c r="J221" s="47"/>
      <c r="K221" s="47"/>
      <c r="L221" s="47">
        <v>6.03</v>
      </c>
      <c r="M221" s="47"/>
    </row>
    <row r="222" spans="1:13" x14ac:dyDescent="0.2">
      <c r="A222" s="64" t="s">
        <v>847</v>
      </c>
      <c r="B222" s="62">
        <f t="shared" ref="B222:B223" si="82">ROUND((+F222/1000)*E222,2)+ROUND((G222/1000)*E222,2)</f>
        <v>2.31</v>
      </c>
      <c r="C222" s="63">
        <v>0.38</v>
      </c>
      <c r="D222" s="62">
        <v>0.67</v>
      </c>
      <c r="E222" s="61">
        <v>2076</v>
      </c>
      <c r="F222" s="61">
        <v>0.69299999999999995</v>
      </c>
      <c r="G222" s="64">
        <v>0.41799999999999998</v>
      </c>
      <c r="H222" s="65">
        <f t="shared" ref="H222:H223" si="83">ROUND((L222/1000)*E222,2)</f>
        <v>12.52</v>
      </c>
      <c r="I222" s="47"/>
      <c r="J222" s="47"/>
      <c r="K222" s="47"/>
      <c r="L222" s="47">
        <v>6.03</v>
      </c>
      <c r="M222" s="47"/>
    </row>
    <row r="223" spans="1:13" x14ac:dyDescent="0.2">
      <c r="A223" s="64" t="s">
        <v>886</v>
      </c>
      <c r="B223" s="62">
        <f t="shared" si="82"/>
        <v>2.34</v>
      </c>
      <c r="C223" s="63">
        <v>0.38</v>
      </c>
      <c r="D223" s="62">
        <v>0.67</v>
      </c>
      <c r="E223" s="61">
        <v>2100</v>
      </c>
      <c r="F223" s="61">
        <v>0.69299999999999995</v>
      </c>
      <c r="G223" s="64">
        <v>0.41799999999999998</v>
      </c>
      <c r="H223" s="65">
        <f t="shared" si="83"/>
        <v>12.66</v>
      </c>
      <c r="I223" s="47"/>
      <c r="J223" s="47"/>
      <c r="K223" s="47"/>
      <c r="L223" s="47">
        <v>6.03</v>
      </c>
      <c r="M223" s="47"/>
    </row>
    <row r="224" spans="1:13" x14ac:dyDescent="0.2">
      <c r="A224" s="64" t="s">
        <v>706</v>
      </c>
      <c r="B224" s="62">
        <f t="shared" si="65"/>
        <v>2.37</v>
      </c>
      <c r="C224" s="63">
        <v>0.38</v>
      </c>
      <c r="D224" s="62">
        <v>0.67</v>
      </c>
      <c r="E224" s="61">
        <v>2130</v>
      </c>
      <c r="F224" s="61">
        <v>0.69299999999999995</v>
      </c>
      <c r="G224" s="64">
        <v>0.41799999999999998</v>
      </c>
      <c r="H224" s="65">
        <f t="shared" si="62"/>
        <v>12.84</v>
      </c>
      <c r="I224" s="47"/>
      <c r="J224" s="47"/>
      <c r="K224" s="47"/>
      <c r="L224" s="47">
        <v>6.03</v>
      </c>
      <c r="M224" s="47"/>
    </row>
    <row r="225" spans="1:13" x14ac:dyDescent="0.2">
      <c r="A225" s="64" t="s">
        <v>880</v>
      </c>
      <c r="B225" s="62">
        <f t="shared" si="65"/>
        <v>2.5499999999999998</v>
      </c>
      <c r="C225" s="63">
        <v>0.38</v>
      </c>
      <c r="D225" s="62">
        <v>0.67</v>
      </c>
      <c r="E225" s="61">
        <v>2400</v>
      </c>
      <c r="F225" s="61">
        <v>0.64400000000000002</v>
      </c>
      <c r="G225" s="64">
        <v>0.41799999999999998</v>
      </c>
      <c r="H225" s="65">
        <f t="shared" si="62"/>
        <v>13.46</v>
      </c>
      <c r="I225" s="47"/>
      <c r="J225" s="47"/>
      <c r="K225" s="47"/>
      <c r="L225" s="47">
        <v>5.61</v>
      </c>
      <c r="M225" s="47"/>
    </row>
    <row r="226" spans="1:13" x14ac:dyDescent="0.2">
      <c r="A226" s="64" t="s">
        <v>1038</v>
      </c>
      <c r="B226" s="62">
        <f t="shared" ref="B226" si="84">ROUND((+F226/1000)*E226,2)+ROUND((G226/1000)*E226,2)</f>
        <v>2.66</v>
      </c>
      <c r="C226" s="63">
        <v>0.38</v>
      </c>
      <c r="D226" s="62">
        <v>0.67</v>
      </c>
      <c r="E226" s="61">
        <v>2500</v>
      </c>
      <c r="F226" s="61">
        <v>0.64400000000000002</v>
      </c>
      <c r="G226" s="64">
        <v>0.41799999999999998</v>
      </c>
      <c r="H226" s="65">
        <f t="shared" ref="H226" si="85">ROUND((L226/1000)*E226,2)</f>
        <v>14.03</v>
      </c>
      <c r="I226" s="47"/>
      <c r="J226" s="47"/>
      <c r="K226" s="47"/>
      <c r="L226" s="47">
        <v>5.61</v>
      </c>
      <c r="M226" s="47"/>
    </row>
    <row r="227" spans="1:13" x14ac:dyDescent="0.2">
      <c r="A227" s="64" t="s">
        <v>858</v>
      </c>
      <c r="B227" s="62">
        <f t="shared" ref="B227" si="86">ROUND((+F227/1000)*E227,2)+ROUND((G227/1000)*E227,2)</f>
        <v>2.8</v>
      </c>
      <c r="C227" s="63">
        <v>0.38</v>
      </c>
      <c r="D227" s="62">
        <v>0.67</v>
      </c>
      <c r="E227" s="61">
        <v>2640</v>
      </c>
      <c r="F227" s="61">
        <v>0.64400000000000002</v>
      </c>
      <c r="G227" s="64">
        <v>0.41799999999999998</v>
      </c>
      <c r="H227" s="65">
        <f t="shared" ref="H227" si="87">ROUND((L227/1000)*E227,2)</f>
        <v>14.81</v>
      </c>
      <c r="I227" s="47"/>
      <c r="J227" s="47"/>
      <c r="K227" s="47"/>
      <c r="L227" s="47">
        <v>5.61</v>
      </c>
      <c r="M227" s="47"/>
    </row>
    <row r="228" spans="1:13" x14ac:dyDescent="0.2">
      <c r="A228" s="64" t="s">
        <v>708</v>
      </c>
      <c r="B228" s="62">
        <f t="shared" si="65"/>
        <v>2.9</v>
      </c>
      <c r="C228" s="63">
        <v>0.38</v>
      </c>
      <c r="D228" s="62">
        <v>0.67</v>
      </c>
      <c r="E228" s="61">
        <v>2728</v>
      </c>
      <c r="F228" s="61">
        <v>0.64400000000000002</v>
      </c>
      <c r="G228" s="64">
        <v>0.41799999999999998</v>
      </c>
      <c r="H228" s="65">
        <f t="shared" si="62"/>
        <v>15.3</v>
      </c>
      <c r="I228" s="47"/>
      <c r="J228" s="47"/>
      <c r="K228" s="47"/>
      <c r="L228" s="47">
        <v>5.61</v>
      </c>
      <c r="M228" s="47"/>
    </row>
    <row r="229" spans="1:13" x14ac:dyDescent="0.2">
      <c r="A229" s="64" t="s">
        <v>709</v>
      </c>
      <c r="B229" s="62">
        <f>ROUND((+F229/1000)*E229,2)+ROUND((G229/1000)*E229,2)</f>
        <v>3.02</v>
      </c>
      <c r="C229" s="63">
        <v>0.38</v>
      </c>
      <c r="D229" s="62">
        <v>0.67</v>
      </c>
      <c r="E229" s="61">
        <v>2838</v>
      </c>
      <c r="F229" s="61">
        <v>0.64400000000000002</v>
      </c>
      <c r="G229" s="64">
        <v>0.41799999999999998</v>
      </c>
      <c r="H229" s="65">
        <f>ROUND((L229/1000)*E229,2)</f>
        <v>15.92</v>
      </c>
      <c r="I229" s="47"/>
      <c r="J229" s="47"/>
      <c r="K229" s="47"/>
      <c r="L229" s="47">
        <v>5.61</v>
      </c>
      <c r="M229" s="47"/>
    </row>
    <row r="230" spans="1:13" x14ac:dyDescent="0.2">
      <c r="A230" s="64" t="s">
        <v>834</v>
      </c>
      <c r="B230" s="62">
        <f>ROUND((+F230/1000)*E230,2)+ROUND((G230/1000)*E230,2)</f>
        <v>3.02</v>
      </c>
      <c r="C230" s="63">
        <v>0.38</v>
      </c>
      <c r="D230" s="62">
        <v>0.67</v>
      </c>
      <c r="E230" s="61">
        <v>2840</v>
      </c>
      <c r="F230" s="61">
        <v>0.64400000000000002</v>
      </c>
      <c r="G230" s="64">
        <v>0.41799999999999998</v>
      </c>
      <c r="H230" s="65">
        <f>ROUND((L230/1000)*E230,2)</f>
        <v>15.93</v>
      </c>
      <c r="I230" s="47"/>
      <c r="J230" s="47"/>
      <c r="K230" s="47"/>
      <c r="L230" s="47">
        <v>5.61</v>
      </c>
      <c r="M230" s="47"/>
    </row>
    <row r="231" spans="1:13" x14ac:dyDescent="0.2">
      <c r="A231" s="64" t="s">
        <v>815</v>
      </c>
      <c r="B231" s="62">
        <f t="shared" ref="B231" si="88">ROUND((+F231/1000)*E231,2)+ROUND((G231/1000)*E231,2)</f>
        <v>3.1799999999999997</v>
      </c>
      <c r="C231" s="63">
        <v>0.38</v>
      </c>
      <c r="D231" s="62">
        <v>0.67</v>
      </c>
      <c r="E231" s="61">
        <v>3000</v>
      </c>
      <c r="F231" s="61">
        <v>0.64400000000000002</v>
      </c>
      <c r="G231" s="64">
        <v>0.41799999999999998</v>
      </c>
      <c r="H231" s="65">
        <f t="shared" ref="H231" si="89">ROUND((L231/1000)*E231,2)</f>
        <v>16.829999999999998</v>
      </c>
      <c r="I231" s="47"/>
      <c r="J231" s="47"/>
      <c r="K231" s="47"/>
      <c r="L231" s="47">
        <v>5.61</v>
      </c>
      <c r="M231" s="47"/>
    </row>
    <row r="232" spans="1:13" x14ac:dyDescent="0.2">
      <c r="A232" s="64" t="s">
        <v>710</v>
      </c>
      <c r="B232" s="62">
        <f t="shared" si="65"/>
        <v>3.51</v>
      </c>
      <c r="C232" s="63">
        <v>0.38</v>
      </c>
      <c r="D232" s="62">
        <v>0.67</v>
      </c>
      <c r="E232" s="61">
        <v>3300</v>
      </c>
      <c r="F232" s="61">
        <v>0.64400000000000002</v>
      </c>
      <c r="G232" s="64">
        <v>0.41799999999999998</v>
      </c>
      <c r="H232" s="65">
        <f t="shared" si="62"/>
        <v>18.510000000000002</v>
      </c>
      <c r="I232" s="47"/>
      <c r="J232" s="47"/>
      <c r="K232" s="47"/>
      <c r="L232" s="47">
        <v>5.61</v>
      </c>
      <c r="M232" s="47"/>
    </row>
    <row r="233" spans="1:13" x14ac:dyDescent="0.2">
      <c r="A233" s="64" t="s">
        <v>711</v>
      </c>
      <c r="B233" s="62">
        <f t="shared" si="65"/>
        <v>3.74</v>
      </c>
      <c r="C233" s="63">
        <v>0.38</v>
      </c>
      <c r="D233" s="62">
        <v>0.67</v>
      </c>
      <c r="E233" s="61">
        <v>3520</v>
      </c>
      <c r="F233" s="61">
        <v>0.64400000000000002</v>
      </c>
      <c r="G233" s="64">
        <v>0.41799999999999998</v>
      </c>
      <c r="H233" s="65">
        <f t="shared" si="62"/>
        <v>19.75</v>
      </c>
      <c r="I233" s="47"/>
      <c r="J233" s="47"/>
      <c r="K233" s="47"/>
      <c r="L233" s="47">
        <v>5.61</v>
      </c>
      <c r="M233" s="47"/>
    </row>
    <row r="234" spans="1:13" x14ac:dyDescent="0.2">
      <c r="A234" s="64" t="s">
        <v>882</v>
      </c>
      <c r="B234" s="62">
        <f t="shared" ref="B234" si="90">ROUND((+F234/1000)*E234,2)+ROUND((G234/1000)*E234,2)</f>
        <v>3.77</v>
      </c>
      <c r="C234" s="63">
        <v>0.38</v>
      </c>
      <c r="D234" s="62">
        <v>0.67</v>
      </c>
      <c r="E234" s="61">
        <v>3550</v>
      </c>
      <c r="F234" s="61">
        <v>0.64400000000000002</v>
      </c>
      <c r="G234" s="64">
        <v>0.41799999999999998</v>
      </c>
      <c r="H234" s="65">
        <f t="shared" ref="H234" si="91">ROUND((L234/1000)*E234,2)</f>
        <v>19.920000000000002</v>
      </c>
      <c r="I234" s="47"/>
      <c r="J234" s="47"/>
      <c r="K234" s="47"/>
      <c r="L234" s="47">
        <v>5.61</v>
      </c>
      <c r="M234" s="47"/>
    </row>
    <row r="235" spans="1:13" x14ac:dyDescent="0.2">
      <c r="A235" s="64" t="s">
        <v>865</v>
      </c>
      <c r="B235" s="62">
        <f>ROUND((+F235/1000)*E235,2)+ROUND((G235/1000)*E235,2)</f>
        <v>3.99</v>
      </c>
      <c r="C235" s="63">
        <v>0.38</v>
      </c>
      <c r="D235" s="62">
        <v>0.67</v>
      </c>
      <c r="E235" s="61">
        <v>3760</v>
      </c>
      <c r="F235" s="61">
        <v>0.64400000000000002</v>
      </c>
      <c r="G235" s="64">
        <v>0.41799999999999998</v>
      </c>
      <c r="H235" s="65">
        <f>ROUND((L235/1000)*E235,2)</f>
        <v>21.09</v>
      </c>
      <c r="I235" s="47"/>
      <c r="J235" s="47"/>
      <c r="K235" s="47"/>
      <c r="L235" s="47">
        <v>5.61</v>
      </c>
      <c r="M235" s="47"/>
    </row>
    <row r="236" spans="1:13" x14ac:dyDescent="0.2">
      <c r="A236" s="64" t="s">
        <v>789</v>
      </c>
      <c r="B236" s="62">
        <f>ROUND((+F236/1000)*E236,2)+ROUND((G236/1000)*E236,2)</f>
        <v>4.0199999999999996</v>
      </c>
      <c r="C236" s="63">
        <v>0.38</v>
      </c>
      <c r="D236" s="62">
        <v>0.67</v>
      </c>
      <c r="E236" s="61">
        <v>3784</v>
      </c>
      <c r="F236" s="61">
        <v>0.64400000000000002</v>
      </c>
      <c r="G236" s="64">
        <v>0.41799999999999998</v>
      </c>
      <c r="H236" s="65">
        <f>ROUND((L236/1000)*E236,2)</f>
        <v>21.23</v>
      </c>
      <c r="I236" s="47"/>
      <c r="J236" s="47"/>
      <c r="K236" s="47"/>
      <c r="L236" s="47">
        <v>5.61</v>
      </c>
      <c r="M236" s="47"/>
    </row>
    <row r="237" spans="1:13" x14ac:dyDescent="0.2">
      <c r="A237" s="64" t="s">
        <v>845</v>
      </c>
      <c r="B237" s="62">
        <f t="shared" ref="B237" si="92">ROUND((+F237/1000)*E237,2)+ROUND((G237/1000)*E237,2)</f>
        <v>4.07</v>
      </c>
      <c r="C237" s="63">
        <v>0.38</v>
      </c>
      <c r="D237" s="62">
        <v>0.67</v>
      </c>
      <c r="E237" s="61">
        <v>3960</v>
      </c>
      <c r="F237" s="61">
        <v>0.60799999999999998</v>
      </c>
      <c r="G237" s="64">
        <v>0.41799999999999998</v>
      </c>
      <c r="H237" s="65">
        <f t="shared" ref="H237" si="93">ROUND((L237/1000)*E237,2)</f>
        <v>20.95</v>
      </c>
      <c r="I237" s="47"/>
      <c r="J237" s="47"/>
      <c r="K237" s="47"/>
      <c r="L237" s="47">
        <v>5.29</v>
      </c>
      <c r="M237" s="47"/>
    </row>
    <row r="238" spans="1:13" x14ac:dyDescent="0.2">
      <c r="A238" s="64" t="s">
        <v>867</v>
      </c>
      <c r="B238" s="62">
        <f t="shared" ref="B238" si="94">ROUND((+F238/1000)*E238,2)+ROUND((G238/1000)*E238,2)</f>
        <v>4.0999999999999996</v>
      </c>
      <c r="C238" s="63">
        <v>0.38</v>
      </c>
      <c r="D238" s="62">
        <v>0.67</v>
      </c>
      <c r="E238" s="61">
        <v>4000</v>
      </c>
      <c r="F238" s="61">
        <v>0.60799999999999998</v>
      </c>
      <c r="G238" s="64">
        <v>0.41799999999999998</v>
      </c>
      <c r="H238" s="65">
        <f t="shared" ref="H238" si="95">ROUND((L238/1000)*E238,2)</f>
        <v>21.16</v>
      </c>
      <c r="I238" s="47"/>
      <c r="J238" s="47"/>
      <c r="K238" s="47"/>
      <c r="L238" s="47">
        <v>5.29</v>
      </c>
      <c r="M238" s="47"/>
    </row>
    <row r="239" spans="1:13" x14ac:dyDescent="0.2">
      <c r="A239" s="64" t="s">
        <v>712</v>
      </c>
      <c r="B239" s="62">
        <f t="shared" si="65"/>
        <v>4.2</v>
      </c>
      <c r="C239" s="63">
        <v>0.38</v>
      </c>
      <c r="D239" s="62">
        <v>0.67</v>
      </c>
      <c r="E239" s="61">
        <v>4092</v>
      </c>
      <c r="F239" s="61">
        <v>0.60799999999999998</v>
      </c>
      <c r="G239" s="64">
        <v>0.41799999999999998</v>
      </c>
      <c r="H239" s="65">
        <f t="shared" si="62"/>
        <v>21.65</v>
      </c>
      <c r="I239" s="47"/>
      <c r="J239" s="47"/>
      <c r="K239" s="47"/>
      <c r="L239" s="47">
        <v>5.29</v>
      </c>
      <c r="M239" s="47"/>
    </row>
    <row r="240" spans="1:13" x14ac:dyDescent="0.2">
      <c r="A240" s="64" t="s">
        <v>713</v>
      </c>
      <c r="B240" s="62">
        <f t="shared" si="65"/>
        <v>4.37</v>
      </c>
      <c r="C240" s="63">
        <v>0.38</v>
      </c>
      <c r="D240" s="62">
        <v>0.67</v>
      </c>
      <c r="E240" s="61">
        <v>4260</v>
      </c>
      <c r="F240" s="61">
        <v>0.60799999999999998</v>
      </c>
      <c r="G240" s="64">
        <v>0.41799999999999998</v>
      </c>
      <c r="H240" s="65">
        <f t="shared" si="62"/>
        <v>22.54</v>
      </c>
      <c r="I240" s="47"/>
      <c r="J240" s="47"/>
      <c r="K240" s="47"/>
      <c r="L240" s="47">
        <v>5.29</v>
      </c>
      <c r="M240" s="47"/>
    </row>
    <row r="241" spans="1:14" x14ac:dyDescent="0.2">
      <c r="A241" s="64" t="s">
        <v>714</v>
      </c>
      <c r="B241" s="62">
        <f t="shared" si="65"/>
        <v>5.13</v>
      </c>
      <c r="C241" s="63">
        <v>0.38</v>
      </c>
      <c r="D241" s="62">
        <v>0.67</v>
      </c>
      <c r="E241" s="61">
        <v>5000</v>
      </c>
      <c r="F241" s="61">
        <v>0.60799999999999998</v>
      </c>
      <c r="G241" s="64">
        <v>0.41799999999999998</v>
      </c>
      <c r="H241" s="65">
        <f t="shared" si="62"/>
        <v>26.45</v>
      </c>
      <c r="I241" s="47"/>
      <c r="J241" s="47"/>
      <c r="K241" s="47"/>
      <c r="L241" s="47">
        <v>5.29</v>
      </c>
      <c r="M241" s="47"/>
    </row>
    <row r="242" spans="1:14" x14ac:dyDescent="0.2">
      <c r="A242" s="64" t="s">
        <v>1036</v>
      </c>
      <c r="B242" s="62">
        <f t="shared" si="65"/>
        <v>5.4700000000000006</v>
      </c>
      <c r="C242" s="63">
        <v>0.38</v>
      </c>
      <c r="D242" s="62">
        <v>0.67</v>
      </c>
      <c r="E242" s="61">
        <v>5325</v>
      </c>
      <c r="F242" s="61">
        <v>0.60799999999999998</v>
      </c>
      <c r="G242" s="64">
        <v>0.41799999999999998</v>
      </c>
      <c r="H242" s="65">
        <f t="shared" si="62"/>
        <v>28.17</v>
      </c>
      <c r="I242" s="47"/>
      <c r="J242" s="47"/>
      <c r="K242" s="47"/>
      <c r="L242" s="47">
        <v>5.29</v>
      </c>
      <c r="M242" s="47"/>
    </row>
    <row r="243" spans="1:14" x14ac:dyDescent="0.2">
      <c r="A243" s="64" t="s">
        <v>881</v>
      </c>
      <c r="B243" s="62">
        <f t="shared" ref="B243" si="96">ROUND((+F243/1000)*E243,2)+ROUND((G243/1000)*E243,2)</f>
        <v>5.82</v>
      </c>
      <c r="C243" s="63">
        <v>0.38</v>
      </c>
      <c r="D243" s="62">
        <v>0.67</v>
      </c>
      <c r="E243" s="61">
        <v>5676</v>
      </c>
      <c r="F243" s="61">
        <v>0.60799999999999998</v>
      </c>
      <c r="G243" s="64">
        <v>0.41799999999999998</v>
      </c>
      <c r="H243" s="65">
        <f t="shared" ref="H243" si="97">ROUND((L243/1000)*E243,2)</f>
        <v>30.03</v>
      </c>
      <c r="I243" s="47"/>
      <c r="J243" s="47"/>
      <c r="K243" s="47"/>
      <c r="L243" s="47">
        <v>5.29</v>
      </c>
      <c r="M243" s="47"/>
    </row>
    <row r="244" spans="1:14" x14ac:dyDescent="0.2">
      <c r="A244" s="64" t="s">
        <v>856</v>
      </c>
      <c r="B244" s="62">
        <f t="shared" ref="B244" si="98">ROUND((+F244/1000)*E244,2)+ROUND((G244/1000)*E244,2)</f>
        <v>7.7799999999999994</v>
      </c>
      <c r="C244" s="63">
        <v>0.38</v>
      </c>
      <c r="D244" s="62">
        <v>0.67</v>
      </c>
      <c r="E244" s="61">
        <v>7920</v>
      </c>
      <c r="F244" s="61">
        <v>0.56499999999999995</v>
      </c>
      <c r="G244" s="64">
        <v>0.41799999999999998</v>
      </c>
      <c r="H244" s="65">
        <f t="shared" ref="H244" si="99">ROUND((L244/1000)*E244,2)</f>
        <v>41.9</v>
      </c>
      <c r="I244" s="47"/>
      <c r="J244" s="47"/>
      <c r="K244" s="47"/>
      <c r="L244" s="47">
        <v>5.29</v>
      </c>
      <c r="M244" s="47"/>
    </row>
    <row r="245" spans="1:14" x14ac:dyDescent="0.2">
      <c r="A245" s="64" t="s">
        <v>861</v>
      </c>
      <c r="B245" s="62">
        <f t="shared" ref="B245" si="100">ROUND((+F245/1000)*E245,2)+ROUND((G245/1000)*E245,2)</f>
        <v>8.3699999999999992</v>
      </c>
      <c r="C245" s="63">
        <v>0.38</v>
      </c>
      <c r="D245" s="62">
        <v>0.67</v>
      </c>
      <c r="E245" s="61">
        <v>8520</v>
      </c>
      <c r="F245" s="61">
        <v>0.56499999999999995</v>
      </c>
      <c r="G245" s="64">
        <v>0.41799999999999998</v>
      </c>
      <c r="H245" s="65">
        <f t="shared" ref="H245" si="101">ROUND((L245/1000)*E245,2)</f>
        <v>45.07</v>
      </c>
      <c r="I245" s="47"/>
      <c r="J245" s="47"/>
      <c r="K245" s="47"/>
      <c r="L245" s="47">
        <v>5.29</v>
      </c>
      <c r="M245" s="47"/>
    </row>
    <row r="246" spans="1:14" x14ac:dyDescent="0.2">
      <c r="A246" s="64" t="s">
        <v>958</v>
      </c>
      <c r="B246" s="62">
        <f t="shared" ref="B246" si="102">ROUND((+F246/1000)*E246,2)+ROUND((G246/1000)*E246,2)</f>
        <v>11.8</v>
      </c>
      <c r="C246" s="63">
        <v>0.38</v>
      </c>
      <c r="D246" s="62">
        <v>0.67</v>
      </c>
      <c r="E246" s="61">
        <v>12000</v>
      </c>
      <c r="F246" s="61">
        <v>0.56499999999999995</v>
      </c>
      <c r="G246" s="64">
        <v>0.41799999999999998</v>
      </c>
      <c r="H246" s="65">
        <f t="shared" ref="H246" si="103">ROUND((L246/1000)*E246,2)</f>
        <v>63.48</v>
      </c>
      <c r="I246" s="47"/>
      <c r="J246" s="47"/>
      <c r="K246" s="47"/>
      <c r="L246" s="47">
        <v>5.29</v>
      </c>
      <c r="M246" s="47"/>
    </row>
    <row r="247" spans="1:14" x14ac:dyDescent="0.2">
      <c r="A247" s="64" t="s">
        <v>876</v>
      </c>
      <c r="B247" s="62">
        <f t="shared" ref="B247:B248" si="104">ROUND((+F247/1000)*E247,2)+ROUND((G247/1000)*E247,2)</f>
        <v>16.41</v>
      </c>
      <c r="C247" s="63">
        <v>0.38</v>
      </c>
      <c r="D247" s="62">
        <v>0.67</v>
      </c>
      <c r="E247" s="61">
        <v>30000</v>
      </c>
      <c r="F247" s="61">
        <v>0.54700000000000004</v>
      </c>
      <c r="G247" s="64"/>
      <c r="H247" s="65">
        <f t="shared" ref="H247:H248" si="105">ROUND((L247/1000)*E247,2)</f>
        <v>158.69999999999999</v>
      </c>
      <c r="I247" s="47"/>
      <c r="J247" s="47"/>
      <c r="K247" s="47"/>
      <c r="L247" s="47">
        <v>5.29</v>
      </c>
      <c r="M247" s="47"/>
    </row>
    <row r="248" spans="1:14" x14ac:dyDescent="0.2">
      <c r="A248" s="64" t="s">
        <v>877</v>
      </c>
      <c r="B248" s="62">
        <f t="shared" si="104"/>
        <v>27.35</v>
      </c>
      <c r="C248" s="63">
        <v>0.38</v>
      </c>
      <c r="D248" s="62">
        <v>0.67</v>
      </c>
      <c r="E248" s="61">
        <v>50000</v>
      </c>
      <c r="F248" s="61">
        <v>0.54700000000000004</v>
      </c>
      <c r="G248" s="64"/>
      <c r="H248" s="65">
        <f t="shared" si="105"/>
        <v>264.5</v>
      </c>
      <c r="I248" s="47"/>
      <c r="J248" s="47"/>
      <c r="K248" s="47"/>
      <c r="L248" s="47">
        <v>5.29</v>
      </c>
      <c r="M248" s="47"/>
    </row>
    <row r="249" spans="1:14" x14ac:dyDescent="0.2">
      <c r="A249" s="64" t="s">
        <v>715</v>
      </c>
      <c r="B249" s="62">
        <f t="shared" si="65"/>
        <v>0.55999999999999994</v>
      </c>
      <c r="C249" s="63">
        <v>0.19</v>
      </c>
      <c r="D249" s="62">
        <v>0.67</v>
      </c>
      <c r="E249" s="61">
        <v>1000</v>
      </c>
      <c r="F249" s="61">
        <v>0.34699999999999998</v>
      </c>
      <c r="G249" s="64">
        <v>0.20899999999999999</v>
      </c>
      <c r="H249" s="65">
        <f t="shared" si="62"/>
        <v>3</v>
      </c>
      <c r="I249" s="47"/>
      <c r="J249" s="47"/>
      <c r="K249" s="47"/>
      <c r="L249" s="47">
        <v>3</v>
      </c>
      <c r="M249" s="47"/>
    </row>
    <row r="250" spans="1:14" x14ac:dyDescent="0.2">
      <c r="A250" s="64" t="s">
        <v>716</v>
      </c>
      <c r="B250" s="62">
        <f t="shared" si="65"/>
        <v>0.74</v>
      </c>
      <c r="C250" s="63">
        <v>0.19</v>
      </c>
      <c r="D250" s="62">
        <v>0.67</v>
      </c>
      <c r="E250" s="61">
        <v>1320</v>
      </c>
      <c r="F250" s="61">
        <v>0.34699999999999998</v>
      </c>
      <c r="G250" s="64">
        <v>0.20899999999999999</v>
      </c>
      <c r="H250" s="65">
        <f t="shared" si="62"/>
        <v>3.96</v>
      </c>
      <c r="I250" s="47"/>
      <c r="J250" s="47"/>
      <c r="K250" s="47"/>
      <c r="L250" s="47">
        <v>3</v>
      </c>
      <c r="M250" s="47"/>
    </row>
    <row r="251" spans="1:14" x14ac:dyDescent="0.2">
      <c r="A251" s="64" t="s">
        <v>741</v>
      </c>
      <c r="B251" s="62">
        <f>ROUND((+F251/1000)*E251,2)+ROUND((G251/1000)*E251,2)</f>
        <v>1.1399999999999999</v>
      </c>
      <c r="C251" s="63">
        <v>0.19</v>
      </c>
      <c r="D251" s="62">
        <v>0.67</v>
      </c>
      <c r="E251" s="61">
        <v>2046</v>
      </c>
      <c r="F251" s="61">
        <v>0.34699999999999998</v>
      </c>
      <c r="G251" s="64">
        <v>0.20899999999999999</v>
      </c>
      <c r="H251" s="65">
        <f>ROUND((L251/1000)*E251,2)</f>
        <v>6.14</v>
      </c>
      <c r="I251" s="47"/>
      <c r="J251" s="47"/>
      <c r="K251" s="47"/>
      <c r="L251" s="47">
        <v>3</v>
      </c>
      <c r="M251" s="47"/>
    </row>
    <row r="252" spans="1:14" x14ac:dyDescent="0.2">
      <c r="A252" s="64" t="s">
        <v>717</v>
      </c>
      <c r="B252" s="62">
        <f t="shared" si="65"/>
        <v>1.19</v>
      </c>
      <c r="C252" s="63">
        <v>0.19</v>
      </c>
      <c r="D252" s="62">
        <v>0.67</v>
      </c>
      <c r="E252" s="61">
        <v>2130</v>
      </c>
      <c r="F252" s="61">
        <v>0.34699999999999998</v>
      </c>
      <c r="G252" s="64">
        <v>0.20899999999999999</v>
      </c>
      <c r="H252" s="65">
        <f t="shared" si="62"/>
        <v>6.39</v>
      </c>
      <c r="I252" s="47"/>
      <c r="J252" s="47"/>
      <c r="K252" s="47"/>
      <c r="L252" s="47">
        <v>3</v>
      </c>
      <c r="M252" s="47"/>
    </row>
    <row r="253" spans="1:14" x14ac:dyDescent="0.2">
      <c r="A253" s="64" t="s">
        <v>718</v>
      </c>
      <c r="B253" s="62">
        <f t="shared" si="65"/>
        <v>2.19</v>
      </c>
      <c r="C253" s="63">
        <v>0.19</v>
      </c>
      <c r="D253" s="62">
        <v>0.67</v>
      </c>
      <c r="E253" s="61">
        <v>4260</v>
      </c>
      <c r="F253" s="61">
        <v>0.30399999999999999</v>
      </c>
      <c r="G253" s="64">
        <v>0.20899999999999999</v>
      </c>
      <c r="H253" s="65">
        <f t="shared" si="62"/>
        <v>11.2</v>
      </c>
      <c r="I253" s="47"/>
      <c r="J253" s="47"/>
      <c r="K253" s="47"/>
      <c r="L253" s="47">
        <v>2.63</v>
      </c>
      <c r="M253" s="47"/>
    </row>
    <row r="254" spans="1:14" x14ac:dyDescent="0.2">
      <c r="A254" s="85" t="s">
        <v>639</v>
      </c>
      <c r="B254" s="62">
        <f t="shared" ref="B254:B267" si="106">+($B$271/750)*N254*E254</f>
        <v>0.49440000000000001</v>
      </c>
      <c r="C254" s="63">
        <v>0.72</v>
      </c>
      <c r="D254" s="62"/>
      <c r="E254" s="61">
        <v>180</v>
      </c>
      <c r="F254" s="62"/>
      <c r="G254" s="78"/>
      <c r="H254" s="65">
        <f t="shared" ref="H254:H268" si="107">(($H$271/$E$271*N254)*E254)</f>
        <v>1.2407999999999999</v>
      </c>
      <c r="I254" s="65">
        <f t="shared" ref="I254:I268" si="108">(($I$271/$E$271)*N254)*E254</f>
        <v>1.5407999999999999</v>
      </c>
      <c r="J254" s="47"/>
      <c r="K254" s="47"/>
      <c r="L254" s="47"/>
      <c r="M254" s="47"/>
      <c r="N254" s="84">
        <v>1</v>
      </c>
    </row>
    <row r="255" spans="1:14" x14ac:dyDescent="0.2">
      <c r="A255" s="85" t="s">
        <v>640</v>
      </c>
      <c r="B255" s="62">
        <f t="shared" si="106"/>
        <v>0.54933333333333334</v>
      </c>
      <c r="C255" s="63">
        <v>0.72</v>
      </c>
      <c r="D255" s="62"/>
      <c r="E255" s="61">
        <v>200</v>
      </c>
      <c r="F255" s="62"/>
      <c r="G255" s="78"/>
      <c r="H255" s="65">
        <f t="shared" si="107"/>
        <v>1.3786666666666665</v>
      </c>
      <c r="I255" s="65">
        <f t="shared" si="108"/>
        <v>1.712</v>
      </c>
      <c r="J255" s="47"/>
      <c r="K255" s="47"/>
      <c r="L255" s="47"/>
      <c r="M255" s="47"/>
      <c r="N255" s="84">
        <v>1</v>
      </c>
    </row>
    <row r="256" spans="1:14" x14ac:dyDescent="0.2">
      <c r="A256" s="93" t="s">
        <v>859</v>
      </c>
      <c r="B256" s="62">
        <f t="shared" si="106"/>
        <v>0.68666666666666665</v>
      </c>
      <c r="C256" s="63">
        <v>0.72</v>
      </c>
      <c r="D256" s="62"/>
      <c r="E256" s="61">
        <v>250</v>
      </c>
      <c r="F256" s="62"/>
      <c r="G256" s="78"/>
      <c r="H256" s="65">
        <f t="shared" ref="H256" si="109">(($H$271/$E$271*N256)*E256)</f>
        <v>1.7233333333333332</v>
      </c>
      <c r="I256" s="65">
        <f t="shared" ref="I256" si="110">(($I$271/$E$271)*N256)*E256</f>
        <v>2.14</v>
      </c>
      <c r="J256" s="47"/>
      <c r="K256" s="47"/>
      <c r="L256" s="47"/>
      <c r="M256" s="47"/>
      <c r="N256" s="84">
        <v>1</v>
      </c>
    </row>
    <row r="257" spans="1:14" x14ac:dyDescent="0.2">
      <c r="A257" s="85" t="s">
        <v>641</v>
      </c>
      <c r="B257" s="62">
        <f t="shared" si="106"/>
        <v>0.74160000000000004</v>
      </c>
      <c r="C257" s="63">
        <v>0.72</v>
      </c>
      <c r="D257" s="62"/>
      <c r="E257" s="61">
        <v>270</v>
      </c>
      <c r="F257" s="62"/>
      <c r="G257" s="78"/>
      <c r="H257" s="65">
        <f t="shared" si="107"/>
        <v>1.8612</v>
      </c>
      <c r="I257" s="65">
        <f t="shared" si="108"/>
        <v>2.3111999999999999</v>
      </c>
      <c r="J257" s="47"/>
      <c r="K257" s="47"/>
      <c r="L257" s="47"/>
      <c r="M257" s="47"/>
      <c r="N257" s="84">
        <v>1</v>
      </c>
    </row>
    <row r="258" spans="1:14" x14ac:dyDescent="0.2">
      <c r="A258" s="85" t="s">
        <v>642</v>
      </c>
      <c r="B258" s="62">
        <f t="shared" si="106"/>
        <v>0.75533333333333341</v>
      </c>
      <c r="C258" s="63">
        <v>0.72</v>
      </c>
      <c r="D258" s="62"/>
      <c r="E258" s="61">
        <v>275</v>
      </c>
      <c r="F258" s="62"/>
      <c r="G258" s="78"/>
      <c r="H258" s="65">
        <f t="shared" si="107"/>
        <v>1.8956666666666666</v>
      </c>
      <c r="I258" s="65">
        <f t="shared" si="108"/>
        <v>2.3540000000000001</v>
      </c>
      <c r="J258" s="47"/>
      <c r="K258" s="47"/>
      <c r="L258" s="47"/>
      <c r="M258" s="47"/>
      <c r="N258" s="84">
        <v>1</v>
      </c>
    </row>
    <row r="259" spans="1:14" x14ac:dyDescent="0.2">
      <c r="A259" s="93" t="s">
        <v>883</v>
      </c>
      <c r="B259" s="62">
        <f t="shared" ref="B259" si="111">+($B$271/750)*N259*E259</f>
        <v>0.81301333333333337</v>
      </c>
      <c r="C259" s="63">
        <v>0.72</v>
      </c>
      <c r="D259" s="62"/>
      <c r="E259" s="61">
        <v>296</v>
      </c>
      <c r="F259" s="62"/>
      <c r="G259" s="78"/>
      <c r="H259" s="65">
        <f t="shared" ref="H259" si="112">(($H$271/$E$271*N259)*E259)</f>
        <v>2.0404266666666664</v>
      </c>
      <c r="I259" s="65">
        <f t="shared" ref="I259" si="113">(($I$271/$E$271)*N259)*E259</f>
        <v>2.53376</v>
      </c>
      <c r="J259" s="47"/>
      <c r="K259" s="47"/>
      <c r="L259" s="47"/>
      <c r="M259" s="47"/>
      <c r="N259" s="84">
        <v>1</v>
      </c>
    </row>
    <row r="260" spans="1:14" x14ac:dyDescent="0.2">
      <c r="A260" s="85" t="s">
        <v>643</v>
      </c>
      <c r="B260" s="62">
        <f t="shared" si="106"/>
        <v>0.82400000000000007</v>
      </c>
      <c r="C260" s="63">
        <v>0.72</v>
      </c>
      <c r="D260" s="62"/>
      <c r="E260" s="61">
        <v>300</v>
      </c>
      <c r="F260" s="62"/>
      <c r="G260" s="78"/>
      <c r="H260" s="65">
        <f t="shared" si="107"/>
        <v>2.0680000000000001</v>
      </c>
      <c r="I260" s="65">
        <f t="shared" si="108"/>
        <v>2.5680000000000001</v>
      </c>
      <c r="J260" s="47"/>
      <c r="K260" s="47"/>
      <c r="L260" s="47"/>
      <c r="M260" s="47"/>
      <c r="N260" s="84">
        <v>1</v>
      </c>
    </row>
    <row r="261" spans="1:14" x14ac:dyDescent="0.2">
      <c r="A261" s="85" t="s">
        <v>644</v>
      </c>
      <c r="B261" s="62">
        <f t="shared" si="106"/>
        <v>0.90640000000000009</v>
      </c>
      <c r="C261" s="63">
        <v>0.72</v>
      </c>
      <c r="D261" s="62"/>
      <c r="E261" s="61">
        <v>330</v>
      </c>
      <c r="F261" s="62"/>
      <c r="G261" s="78"/>
      <c r="H261" s="65">
        <f t="shared" si="107"/>
        <v>2.2747999999999999</v>
      </c>
      <c r="I261" s="65">
        <f t="shared" si="108"/>
        <v>2.8247999999999998</v>
      </c>
      <c r="J261" s="47"/>
      <c r="K261" s="47"/>
      <c r="L261" s="47"/>
      <c r="M261" s="47"/>
      <c r="N261" s="84">
        <v>1</v>
      </c>
    </row>
    <row r="262" spans="1:14" x14ac:dyDescent="0.2">
      <c r="A262" s="85" t="s">
        <v>645</v>
      </c>
      <c r="B262" s="62">
        <f t="shared" si="106"/>
        <v>0.93661333333333341</v>
      </c>
      <c r="C262" s="63">
        <v>0.72</v>
      </c>
      <c r="D262" s="62"/>
      <c r="E262" s="61">
        <v>341</v>
      </c>
      <c r="F262" s="62"/>
      <c r="G262" s="78"/>
      <c r="H262" s="65">
        <f t="shared" si="107"/>
        <v>2.3506266666666664</v>
      </c>
      <c r="I262" s="65">
        <f t="shared" si="108"/>
        <v>2.9189599999999998</v>
      </c>
      <c r="J262" s="47"/>
      <c r="K262" s="47"/>
      <c r="L262" s="47"/>
      <c r="M262" s="47"/>
      <c r="N262" s="84">
        <v>1</v>
      </c>
    </row>
    <row r="263" spans="1:14" x14ac:dyDescent="0.2">
      <c r="A263" s="85" t="s">
        <v>646</v>
      </c>
      <c r="B263" s="62">
        <f t="shared" si="106"/>
        <v>0.97506666666666675</v>
      </c>
      <c r="C263" s="63">
        <v>0.72</v>
      </c>
      <c r="D263" s="62"/>
      <c r="E263" s="61">
        <v>355</v>
      </c>
      <c r="F263" s="62"/>
      <c r="G263" s="78"/>
      <c r="H263" s="65">
        <f t="shared" si="107"/>
        <v>2.4471333333333334</v>
      </c>
      <c r="I263" s="65">
        <f t="shared" si="108"/>
        <v>3.0388000000000002</v>
      </c>
      <c r="J263" s="47"/>
      <c r="K263" s="47"/>
      <c r="L263" s="47"/>
      <c r="M263" s="47"/>
      <c r="N263" s="84">
        <v>1</v>
      </c>
    </row>
    <row r="264" spans="1:14" x14ac:dyDescent="0.2">
      <c r="A264" s="85" t="s">
        <v>647</v>
      </c>
      <c r="B264" s="62">
        <f t="shared" si="106"/>
        <v>1.03</v>
      </c>
      <c r="C264" s="63">
        <v>0.72</v>
      </c>
      <c r="D264" s="62"/>
      <c r="E264" s="61">
        <v>375</v>
      </c>
      <c r="F264" s="62"/>
      <c r="G264" s="78"/>
      <c r="H264" s="65">
        <f t="shared" si="107"/>
        <v>2.585</v>
      </c>
      <c r="I264" s="65">
        <f t="shared" si="108"/>
        <v>3.21</v>
      </c>
      <c r="J264" s="47"/>
      <c r="K264" s="47"/>
      <c r="L264" s="47"/>
      <c r="M264" s="47"/>
      <c r="N264" s="84">
        <v>1</v>
      </c>
    </row>
    <row r="265" spans="1:14" x14ac:dyDescent="0.2">
      <c r="A265" s="85" t="s">
        <v>648</v>
      </c>
      <c r="B265" s="62">
        <f t="shared" si="106"/>
        <v>1.0986666666666667</v>
      </c>
      <c r="C265" s="63">
        <v>0.72</v>
      </c>
      <c r="D265" s="62"/>
      <c r="E265" s="61">
        <v>400</v>
      </c>
      <c r="F265" s="62"/>
      <c r="G265" s="78"/>
      <c r="H265" s="65">
        <f t="shared" si="107"/>
        <v>2.757333333333333</v>
      </c>
      <c r="I265" s="65">
        <f t="shared" si="108"/>
        <v>3.4239999999999999</v>
      </c>
      <c r="J265" s="47"/>
      <c r="K265" s="47"/>
      <c r="L265" s="47"/>
      <c r="M265" s="47"/>
      <c r="N265" s="84">
        <v>1</v>
      </c>
    </row>
    <row r="266" spans="1:14" x14ac:dyDescent="0.2">
      <c r="A266" s="85" t="s">
        <v>649</v>
      </c>
      <c r="B266" s="62">
        <f t="shared" si="106"/>
        <v>1.2085333333333335</v>
      </c>
      <c r="C266" s="63">
        <v>0.72</v>
      </c>
      <c r="D266" s="62"/>
      <c r="E266" s="61">
        <v>440</v>
      </c>
      <c r="F266" s="62"/>
      <c r="G266" s="78"/>
      <c r="H266" s="65">
        <f t="shared" si="107"/>
        <v>3.0330666666666666</v>
      </c>
      <c r="I266" s="65">
        <f t="shared" si="108"/>
        <v>3.7664</v>
      </c>
      <c r="J266" s="47"/>
      <c r="K266" s="47"/>
      <c r="L266" s="47"/>
      <c r="M266" s="47"/>
      <c r="N266" s="84">
        <v>1</v>
      </c>
    </row>
    <row r="267" spans="1:14" x14ac:dyDescent="0.2">
      <c r="A267" s="93" t="s">
        <v>822</v>
      </c>
      <c r="B267" s="62">
        <f t="shared" si="106"/>
        <v>1.2579733333333334</v>
      </c>
      <c r="C267" s="63">
        <v>0.72</v>
      </c>
      <c r="D267" s="62"/>
      <c r="E267" s="61">
        <v>458</v>
      </c>
      <c r="F267" s="62"/>
      <c r="G267" s="78"/>
      <c r="H267" s="65">
        <f t="shared" si="107"/>
        <v>3.1571466666666663</v>
      </c>
      <c r="I267" s="65">
        <f t="shared" si="108"/>
        <v>3.92048</v>
      </c>
      <c r="J267" s="47"/>
      <c r="K267" s="47"/>
      <c r="L267" s="47"/>
      <c r="M267" s="47"/>
      <c r="N267" s="84">
        <v>1</v>
      </c>
    </row>
    <row r="268" spans="1:14" x14ac:dyDescent="0.2">
      <c r="A268" s="85" t="s">
        <v>650</v>
      </c>
      <c r="B268" s="62">
        <f>+($B$271/750)*N268*E268</f>
        <v>1.2991733333333333</v>
      </c>
      <c r="C268" s="63">
        <v>0.72</v>
      </c>
      <c r="D268" s="62"/>
      <c r="E268" s="61">
        <v>473</v>
      </c>
      <c r="F268" s="62"/>
      <c r="G268" s="78"/>
      <c r="H268" s="65">
        <f t="shared" si="107"/>
        <v>3.2605466666666665</v>
      </c>
      <c r="I268" s="65">
        <f t="shared" si="108"/>
        <v>4.0488799999999996</v>
      </c>
      <c r="J268" s="47"/>
      <c r="K268" s="47"/>
      <c r="L268" s="47"/>
      <c r="M268" s="47"/>
      <c r="N268" s="84">
        <v>1</v>
      </c>
    </row>
    <row r="269" spans="1:14" x14ac:dyDescent="0.2">
      <c r="A269" s="85" t="s">
        <v>651</v>
      </c>
      <c r="B269" s="62">
        <f>+($B$271/750)*N269*E269</f>
        <v>1.3733333333333333</v>
      </c>
      <c r="C269" s="63">
        <v>0.72</v>
      </c>
      <c r="D269" s="62"/>
      <c r="E269" s="61">
        <v>500</v>
      </c>
      <c r="F269" s="62"/>
      <c r="G269" s="78"/>
      <c r="H269" s="65">
        <f>(($H$271/$E$271*N269)*E269)</f>
        <v>3.4466666666666663</v>
      </c>
      <c r="I269" s="65">
        <f>(($I$271/$E$271)*N269)*E269</f>
        <v>4.28</v>
      </c>
      <c r="J269" s="47"/>
      <c r="K269" s="47"/>
      <c r="L269" s="47"/>
      <c r="M269" s="47"/>
      <c r="N269" s="84">
        <v>1</v>
      </c>
    </row>
    <row r="270" spans="1:14" x14ac:dyDescent="0.2">
      <c r="A270" s="93" t="s">
        <v>842</v>
      </c>
      <c r="B270" s="62">
        <f>+($B$271/750)*N270*E270</f>
        <v>1.9226666666666667</v>
      </c>
      <c r="C270" s="63">
        <v>0.72</v>
      </c>
      <c r="D270" s="62"/>
      <c r="E270" s="61">
        <v>700</v>
      </c>
      <c r="F270" s="62"/>
      <c r="G270" s="78"/>
      <c r="H270" s="65">
        <f>(($H$271/$E$271*N270)*E270)</f>
        <v>4.825333333333333</v>
      </c>
      <c r="I270" s="65">
        <f>(($I$271/$E$271)*N270)*E270</f>
        <v>5.992</v>
      </c>
      <c r="J270" s="47"/>
      <c r="K270" s="47"/>
      <c r="L270" s="47"/>
      <c r="M270" s="47"/>
      <c r="N270" s="84">
        <v>1</v>
      </c>
    </row>
    <row r="271" spans="1:14" s="47" customFormat="1" x14ac:dyDescent="0.2">
      <c r="A271" s="112" t="s">
        <v>652</v>
      </c>
      <c r="B271" s="107">
        <v>2.06</v>
      </c>
      <c r="C271" s="63">
        <v>0.72</v>
      </c>
      <c r="D271" s="62"/>
      <c r="E271" s="61">
        <v>750</v>
      </c>
      <c r="F271" s="62"/>
      <c r="G271" s="78"/>
      <c r="H271" s="111">
        <v>5.17</v>
      </c>
      <c r="I271" s="111">
        <v>6.42</v>
      </c>
      <c r="N271" s="84">
        <v>1</v>
      </c>
    </row>
    <row r="272" spans="1:14" x14ac:dyDescent="0.2">
      <c r="A272" s="85" t="s">
        <v>653</v>
      </c>
      <c r="B272" s="62">
        <f t="shared" ref="B272:B299" si="114">+($B$271/750)*N272*E272</f>
        <v>2.472</v>
      </c>
      <c r="C272" s="63">
        <v>0.72</v>
      </c>
      <c r="D272" s="62"/>
      <c r="E272" s="61">
        <v>900</v>
      </c>
      <c r="F272" s="62"/>
      <c r="G272" s="78"/>
      <c r="H272" s="65">
        <f t="shared" ref="H272:H299" si="115">(($H$271/$E$271*N272)*E272)</f>
        <v>6.2039999999999997</v>
      </c>
      <c r="I272" s="65">
        <f t="shared" ref="I272:I299" si="116">(($I$271/$E$271)*N272)*E272</f>
        <v>7.7039999999999997</v>
      </c>
      <c r="J272" s="47"/>
      <c r="K272" s="47"/>
      <c r="L272" s="47"/>
      <c r="M272" s="47"/>
      <c r="N272" s="84">
        <v>1</v>
      </c>
    </row>
    <row r="273" spans="1:14" x14ac:dyDescent="0.2">
      <c r="A273" s="85" t="s">
        <v>654</v>
      </c>
      <c r="B273" s="62">
        <f t="shared" si="114"/>
        <v>2.7466666666666666</v>
      </c>
      <c r="C273" s="63">
        <v>0.72</v>
      </c>
      <c r="D273" s="62"/>
      <c r="E273" s="61">
        <v>1000</v>
      </c>
      <c r="F273" s="62"/>
      <c r="G273" s="78"/>
      <c r="H273" s="65">
        <f t="shared" si="115"/>
        <v>6.8933333333333326</v>
      </c>
      <c r="I273" s="65">
        <f t="shared" si="116"/>
        <v>8.56</v>
      </c>
      <c r="J273" s="47"/>
      <c r="K273" s="47"/>
      <c r="L273" s="47"/>
      <c r="M273" s="47"/>
      <c r="N273" s="84">
        <v>1</v>
      </c>
    </row>
    <row r="274" spans="1:14" x14ac:dyDescent="0.2">
      <c r="A274" s="93" t="s">
        <v>878</v>
      </c>
      <c r="B274" s="62">
        <f t="shared" ref="B274" si="117">+($B$271/750)*N274*E274</f>
        <v>2.9664000000000001</v>
      </c>
      <c r="C274" s="63">
        <v>0.72</v>
      </c>
      <c r="D274" s="62"/>
      <c r="E274" s="61">
        <v>1080</v>
      </c>
      <c r="F274" s="62"/>
      <c r="G274" s="78"/>
      <c r="H274" s="65">
        <f t="shared" ref="H274" si="118">(($H$271/$E$271*N274)*E274)</f>
        <v>7.4447999999999999</v>
      </c>
      <c r="I274" s="65">
        <f t="shared" ref="I274" si="119">(($I$271/$E$271)*N274)*E274</f>
        <v>9.2447999999999997</v>
      </c>
      <c r="J274" s="47"/>
      <c r="K274" s="47"/>
      <c r="L274" s="47"/>
      <c r="M274" s="47"/>
      <c r="N274" s="84">
        <v>1</v>
      </c>
    </row>
    <row r="275" spans="1:14" x14ac:dyDescent="0.2">
      <c r="A275" s="85" t="s">
        <v>655</v>
      </c>
      <c r="B275" s="62">
        <f t="shared" si="114"/>
        <v>3.0213333333333336</v>
      </c>
      <c r="C275" s="63">
        <v>0.72</v>
      </c>
      <c r="D275" s="62"/>
      <c r="E275" s="61">
        <v>1100</v>
      </c>
      <c r="F275" s="62"/>
      <c r="G275" s="78"/>
      <c r="H275" s="65">
        <f t="shared" si="115"/>
        <v>7.5826666666666664</v>
      </c>
      <c r="I275" s="65">
        <f t="shared" si="116"/>
        <v>9.4160000000000004</v>
      </c>
      <c r="J275" s="47"/>
      <c r="K275" s="47"/>
      <c r="L275" s="47"/>
      <c r="M275" s="47"/>
      <c r="N275" s="84">
        <v>1</v>
      </c>
    </row>
    <row r="276" spans="1:14" x14ac:dyDescent="0.2">
      <c r="A276" s="85" t="s">
        <v>656</v>
      </c>
      <c r="B276" s="62">
        <f t="shared" si="114"/>
        <v>3.1312000000000002</v>
      </c>
      <c r="C276" s="63">
        <v>0.72</v>
      </c>
      <c r="D276" s="62"/>
      <c r="E276" s="61">
        <v>1140</v>
      </c>
      <c r="F276" s="62"/>
      <c r="G276" s="78"/>
      <c r="H276" s="65">
        <f t="shared" si="115"/>
        <v>7.8583999999999996</v>
      </c>
      <c r="I276" s="65">
        <f t="shared" si="116"/>
        <v>9.7584</v>
      </c>
      <c r="J276" s="47"/>
      <c r="K276" s="47"/>
      <c r="L276" s="47"/>
      <c r="M276" s="47"/>
      <c r="N276" s="84">
        <v>1</v>
      </c>
    </row>
    <row r="277" spans="1:14" x14ac:dyDescent="0.2">
      <c r="A277" s="85" t="s">
        <v>657</v>
      </c>
      <c r="B277" s="62">
        <f t="shared" si="114"/>
        <v>3.2960000000000003</v>
      </c>
      <c r="C277" s="63">
        <v>0.72</v>
      </c>
      <c r="D277" s="62"/>
      <c r="E277" s="61">
        <v>1200</v>
      </c>
      <c r="F277" s="62"/>
      <c r="G277" s="78"/>
      <c r="H277" s="65">
        <f t="shared" si="115"/>
        <v>8.2720000000000002</v>
      </c>
      <c r="I277" s="65">
        <f t="shared" si="116"/>
        <v>10.272</v>
      </c>
      <c r="J277" s="47"/>
      <c r="K277" s="47"/>
      <c r="L277" s="47"/>
      <c r="M277" s="47"/>
      <c r="N277" s="84">
        <v>1</v>
      </c>
    </row>
    <row r="278" spans="1:14" x14ac:dyDescent="0.2">
      <c r="A278" s="85" t="s">
        <v>658</v>
      </c>
      <c r="B278" s="62">
        <f t="shared" si="114"/>
        <v>3.6256000000000004</v>
      </c>
      <c r="C278" s="63">
        <v>0.72</v>
      </c>
      <c r="D278" s="62"/>
      <c r="E278" s="61">
        <v>1320</v>
      </c>
      <c r="F278" s="62"/>
      <c r="G278" s="78"/>
      <c r="H278" s="65">
        <f t="shared" si="115"/>
        <v>9.0991999999999997</v>
      </c>
      <c r="I278" s="65">
        <f t="shared" si="116"/>
        <v>11.299199999999999</v>
      </c>
      <c r="J278" s="47"/>
      <c r="K278" s="47"/>
      <c r="L278" s="47"/>
      <c r="M278" s="47"/>
      <c r="N278" s="84">
        <v>1</v>
      </c>
    </row>
    <row r="279" spans="1:14" x14ac:dyDescent="0.2">
      <c r="A279" s="85" t="s">
        <v>659</v>
      </c>
      <c r="B279" s="62">
        <f t="shared" si="114"/>
        <v>3.65856</v>
      </c>
      <c r="C279" s="63">
        <v>0.72</v>
      </c>
      <c r="D279" s="62"/>
      <c r="E279" s="61">
        <v>1332</v>
      </c>
      <c r="F279" s="62"/>
      <c r="G279" s="78"/>
      <c r="H279" s="65">
        <f t="shared" si="115"/>
        <v>9.1819199999999999</v>
      </c>
      <c r="I279" s="65">
        <f t="shared" si="116"/>
        <v>11.40192</v>
      </c>
      <c r="J279" s="47"/>
      <c r="K279" s="47"/>
      <c r="L279" s="47"/>
      <c r="M279" s="47"/>
      <c r="N279" s="84">
        <v>1</v>
      </c>
    </row>
    <row r="280" spans="1:14" x14ac:dyDescent="0.2">
      <c r="A280" s="85" t="s">
        <v>660</v>
      </c>
      <c r="B280" s="62">
        <f t="shared" si="114"/>
        <v>3.7354666666666669</v>
      </c>
      <c r="C280" s="63">
        <v>0.72</v>
      </c>
      <c r="D280" s="62"/>
      <c r="E280" s="61">
        <v>1360</v>
      </c>
      <c r="F280" s="62"/>
      <c r="G280" s="78"/>
      <c r="H280" s="65">
        <f t="shared" si="115"/>
        <v>9.3749333333333329</v>
      </c>
      <c r="I280" s="65">
        <f t="shared" si="116"/>
        <v>11.6416</v>
      </c>
      <c r="J280" s="47"/>
      <c r="K280" s="47"/>
      <c r="L280" s="47"/>
      <c r="M280" s="47"/>
      <c r="N280" s="84">
        <v>1</v>
      </c>
    </row>
    <row r="281" spans="1:14" x14ac:dyDescent="0.2">
      <c r="A281" s="85" t="s">
        <v>661</v>
      </c>
      <c r="B281" s="62">
        <f t="shared" si="114"/>
        <v>3.7464533333333336</v>
      </c>
      <c r="C281" s="63">
        <v>0.72</v>
      </c>
      <c r="D281" s="62"/>
      <c r="E281" s="61">
        <v>1364</v>
      </c>
      <c r="F281" s="62"/>
      <c r="G281" s="78"/>
      <c r="H281" s="65">
        <f t="shared" si="115"/>
        <v>9.4025066666666657</v>
      </c>
      <c r="I281" s="65">
        <f t="shared" si="116"/>
        <v>11.675839999999999</v>
      </c>
      <c r="J281" s="47"/>
      <c r="K281" s="47"/>
      <c r="L281" s="47"/>
      <c r="M281" s="47"/>
      <c r="N281" s="84">
        <v>1</v>
      </c>
    </row>
    <row r="282" spans="1:14" x14ac:dyDescent="0.2">
      <c r="A282" s="85" t="s">
        <v>662</v>
      </c>
      <c r="B282" s="62">
        <f t="shared" si="114"/>
        <v>3.900266666666667</v>
      </c>
      <c r="C282" s="63">
        <v>0.72</v>
      </c>
      <c r="D282" s="62"/>
      <c r="E282" s="61">
        <v>1420</v>
      </c>
      <c r="F282" s="62"/>
      <c r="G282" s="78"/>
      <c r="H282" s="65">
        <f t="shared" si="115"/>
        <v>9.7885333333333335</v>
      </c>
      <c r="I282" s="65">
        <f t="shared" si="116"/>
        <v>12.155200000000001</v>
      </c>
      <c r="J282" s="47"/>
      <c r="K282" s="47"/>
      <c r="L282" s="47"/>
      <c r="M282" s="47"/>
      <c r="N282" s="84">
        <v>1</v>
      </c>
    </row>
    <row r="283" spans="1:14" x14ac:dyDescent="0.2">
      <c r="A283" s="85" t="s">
        <v>663</v>
      </c>
      <c r="B283" s="62">
        <f t="shared" si="114"/>
        <v>4.12</v>
      </c>
      <c r="C283" s="63">
        <v>0.72</v>
      </c>
      <c r="D283" s="62"/>
      <c r="E283" s="61">
        <v>1500</v>
      </c>
      <c r="F283" s="62"/>
      <c r="G283" s="78"/>
      <c r="H283" s="65">
        <f t="shared" si="115"/>
        <v>10.34</v>
      </c>
      <c r="I283" s="65">
        <f t="shared" si="116"/>
        <v>12.84</v>
      </c>
      <c r="J283" s="47"/>
      <c r="K283" s="47"/>
      <c r="L283" s="47"/>
      <c r="M283" s="47"/>
      <c r="N283" s="84">
        <v>1</v>
      </c>
    </row>
    <row r="284" spans="1:14" x14ac:dyDescent="0.2">
      <c r="A284" s="85" t="s">
        <v>664</v>
      </c>
      <c r="B284" s="62">
        <f t="shared" si="114"/>
        <v>4.3946666666666667</v>
      </c>
      <c r="C284" s="63">
        <v>0.72</v>
      </c>
      <c r="D284" s="62"/>
      <c r="E284" s="61">
        <v>1600</v>
      </c>
      <c r="F284" s="62"/>
      <c r="G284" s="78"/>
      <c r="H284" s="65">
        <f t="shared" si="115"/>
        <v>11.029333333333332</v>
      </c>
      <c r="I284" s="65">
        <f t="shared" si="116"/>
        <v>13.696</v>
      </c>
      <c r="J284" s="47"/>
      <c r="K284" s="47"/>
      <c r="L284" s="47"/>
      <c r="M284" s="47"/>
      <c r="N284" s="84">
        <v>1</v>
      </c>
    </row>
    <row r="285" spans="1:14" s="98" customFormat="1" x14ac:dyDescent="0.2">
      <c r="A285" s="106" t="s">
        <v>665</v>
      </c>
      <c r="B285" s="62">
        <f t="shared" si="114"/>
        <v>4.8066666666666666</v>
      </c>
      <c r="C285" s="108">
        <v>0.72</v>
      </c>
      <c r="D285" s="107"/>
      <c r="E285" s="109">
        <v>1750</v>
      </c>
      <c r="F285" s="62"/>
      <c r="G285" s="110"/>
      <c r="H285" s="65">
        <f t="shared" si="115"/>
        <v>12.063333333333333</v>
      </c>
      <c r="I285" s="65">
        <f t="shared" si="116"/>
        <v>14.98</v>
      </c>
      <c r="N285" s="84">
        <v>1</v>
      </c>
    </row>
    <row r="286" spans="1:14" s="98" customFormat="1" x14ac:dyDescent="0.2">
      <c r="A286" s="117" t="s">
        <v>860</v>
      </c>
      <c r="B286" s="62">
        <f t="shared" si="114"/>
        <v>4.8780800000000006</v>
      </c>
      <c r="C286" s="108">
        <v>0.72</v>
      </c>
      <c r="D286" s="107"/>
      <c r="E286" s="109">
        <v>1776</v>
      </c>
      <c r="F286" s="62"/>
      <c r="G286" s="110"/>
      <c r="H286" s="65">
        <f t="shared" ref="H286" si="120">(($H$271/$E$271*N286)*E286)</f>
        <v>12.242559999999999</v>
      </c>
      <c r="I286" s="65">
        <f t="shared" ref="I286" si="121">(($I$271/$E$271)*N286)*E286</f>
        <v>15.20256</v>
      </c>
      <c r="N286" s="84">
        <v>1</v>
      </c>
    </row>
    <row r="287" spans="1:14" x14ac:dyDescent="0.2">
      <c r="A287" s="85" t="s">
        <v>666</v>
      </c>
      <c r="B287" s="62">
        <f t="shared" si="114"/>
        <v>5.1966933333333332</v>
      </c>
      <c r="C287" s="63">
        <v>0.72</v>
      </c>
      <c r="D287" s="62"/>
      <c r="E287" s="61">
        <v>1892</v>
      </c>
      <c r="F287" s="62"/>
      <c r="G287" s="78"/>
      <c r="H287" s="65">
        <f t="shared" si="115"/>
        <v>13.042186666666666</v>
      </c>
      <c r="I287" s="65">
        <f t="shared" si="116"/>
        <v>16.195519999999998</v>
      </c>
      <c r="J287" s="47"/>
      <c r="K287" s="47"/>
      <c r="L287" s="47"/>
      <c r="M287" s="47"/>
      <c r="N287" s="84">
        <v>1</v>
      </c>
    </row>
    <row r="288" spans="1:14" x14ac:dyDescent="0.2">
      <c r="A288" s="85" t="s">
        <v>667</v>
      </c>
      <c r="B288" s="62">
        <f t="shared" si="114"/>
        <v>5.4384000000000006</v>
      </c>
      <c r="C288" s="63">
        <v>0.72</v>
      </c>
      <c r="D288" s="62"/>
      <c r="E288" s="61">
        <v>1980</v>
      </c>
      <c r="F288" s="62"/>
      <c r="G288" s="78"/>
      <c r="H288" s="65">
        <f t="shared" si="115"/>
        <v>13.6488</v>
      </c>
      <c r="I288" s="65">
        <f t="shared" si="116"/>
        <v>16.948799999999999</v>
      </c>
      <c r="J288" s="47"/>
      <c r="K288" s="47"/>
      <c r="L288" s="47"/>
      <c r="M288" s="47"/>
      <c r="N288" s="84">
        <v>1</v>
      </c>
    </row>
    <row r="289" spans="1:14" x14ac:dyDescent="0.2">
      <c r="A289" s="85" t="s">
        <v>668</v>
      </c>
      <c r="B289" s="62">
        <f t="shared" si="114"/>
        <v>5.4933333333333332</v>
      </c>
      <c r="C289" s="63">
        <v>0.72</v>
      </c>
      <c r="D289" s="62"/>
      <c r="E289" s="61">
        <v>2000</v>
      </c>
      <c r="F289" s="62"/>
      <c r="G289" s="78"/>
      <c r="H289" s="65">
        <f t="shared" si="115"/>
        <v>13.786666666666665</v>
      </c>
      <c r="I289" s="65">
        <f t="shared" si="116"/>
        <v>17.12</v>
      </c>
      <c r="J289" s="47"/>
      <c r="K289" s="47"/>
      <c r="L289" s="47"/>
      <c r="M289" s="47"/>
      <c r="N289" s="84">
        <v>1</v>
      </c>
    </row>
    <row r="290" spans="1:14" x14ac:dyDescent="0.2">
      <c r="A290" s="85" t="s">
        <v>669</v>
      </c>
      <c r="B290" s="62">
        <f t="shared" si="114"/>
        <v>5.6196800000000007</v>
      </c>
      <c r="C290" s="63">
        <v>0.72</v>
      </c>
      <c r="D290" s="62"/>
      <c r="E290" s="61">
        <v>2046</v>
      </c>
      <c r="F290" s="62"/>
      <c r="G290" s="78"/>
      <c r="H290" s="65">
        <f t="shared" si="115"/>
        <v>14.103759999999999</v>
      </c>
      <c r="I290" s="65">
        <f t="shared" si="116"/>
        <v>17.513760000000001</v>
      </c>
      <c r="J290" s="47"/>
      <c r="K290" s="47"/>
      <c r="L290" s="47"/>
      <c r="M290" s="47"/>
      <c r="N290" s="84">
        <v>1</v>
      </c>
    </row>
    <row r="291" spans="1:14" s="98" customFormat="1" x14ac:dyDescent="0.2">
      <c r="A291" s="106" t="s">
        <v>670</v>
      </c>
      <c r="B291" s="62">
        <f t="shared" si="114"/>
        <v>5.8504000000000005</v>
      </c>
      <c r="C291" s="108">
        <v>0.72</v>
      </c>
      <c r="D291" s="107"/>
      <c r="E291" s="109">
        <v>2130</v>
      </c>
      <c r="F291" s="62"/>
      <c r="G291" s="110"/>
      <c r="H291" s="65">
        <f t="shared" si="115"/>
        <v>14.682799999999999</v>
      </c>
      <c r="I291" s="65">
        <f t="shared" si="116"/>
        <v>18.232800000000001</v>
      </c>
      <c r="N291" s="84">
        <v>1</v>
      </c>
    </row>
    <row r="292" spans="1:14" x14ac:dyDescent="0.2">
      <c r="A292" s="93" t="s">
        <v>846</v>
      </c>
      <c r="B292" s="62">
        <f t="shared" si="114"/>
        <v>7.3896319999999998</v>
      </c>
      <c r="C292" s="63">
        <v>0.72</v>
      </c>
      <c r="D292" s="62"/>
      <c r="E292" s="61">
        <v>2832</v>
      </c>
      <c r="F292" s="62"/>
      <c r="G292" s="78"/>
      <c r="H292" s="65">
        <f t="shared" ref="H292" si="122">(($H$271/$E$271*N292)*E292)</f>
        <v>18.545824</v>
      </c>
      <c r="I292" s="65">
        <f t="shared" ref="I292" si="123">(($I$271/$E$271)*N292)*E292</f>
        <v>23.029824000000001</v>
      </c>
      <c r="J292" s="47"/>
      <c r="K292" s="47"/>
      <c r="L292" s="47"/>
      <c r="M292" s="47"/>
      <c r="N292" s="84">
        <v>0.95</v>
      </c>
    </row>
    <row r="293" spans="1:14" x14ac:dyDescent="0.2">
      <c r="A293" s="93" t="s">
        <v>810</v>
      </c>
      <c r="B293" s="62">
        <f t="shared" si="114"/>
        <v>7.8280000000000003</v>
      </c>
      <c r="C293" s="63">
        <v>0.72</v>
      </c>
      <c r="D293" s="62"/>
      <c r="E293" s="61">
        <v>3000</v>
      </c>
      <c r="F293" s="62"/>
      <c r="G293" s="78"/>
      <c r="H293" s="65">
        <f t="shared" si="115"/>
        <v>19.645999999999997</v>
      </c>
      <c r="I293" s="65">
        <f t="shared" si="116"/>
        <v>24.396000000000001</v>
      </c>
      <c r="J293" s="47"/>
      <c r="K293" s="47"/>
      <c r="L293" s="47"/>
      <c r="M293" s="47"/>
      <c r="N293" s="84">
        <v>0.95</v>
      </c>
    </row>
    <row r="294" spans="1:14" x14ac:dyDescent="0.2">
      <c r="A294" s="93" t="s">
        <v>811</v>
      </c>
      <c r="B294" s="62">
        <f t="shared" si="114"/>
        <v>9.2631333333333323</v>
      </c>
      <c r="C294" s="63">
        <v>0.72</v>
      </c>
      <c r="D294" s="62"/>
      <c r="E294" s="61">
        <v>3550</v>
      </c>
      <c r="F294" s="62"/>
      <c r="G294" s="78"/>
      <c r="H294" s="65">
        <f t="shared" si="115"/>
        <v>23.247766666666664</v>
      </c>
      <c r="I294" s="65">
        <f t="shared" si="116"/>
        <v>28.868600000000001</v>
      </c>
      <c r="J294" s="47"/>
      <c r="K294" s="47"/>
      <c r="L294" s="47"/>
      <c r="M294" s="47"/>
      <c r="N294" s="84">
        <v>0.95</v>
      </c>
    </row>
    <row r="295" spans="1:14" x14ac:dyDescent="0.2">
      <c r="A295" s="85" t="s">
        <v>671</v>
      </c>
      <c r="B295" s="62">
        <f t="shared" si="114"/>
        <v>9.7891200000000005</v>
      </c>
      <c r="C295" s="63">
        <v>0.72</v>
      </c>
      <c r="D295" s="62"/>
      <c r="E295" s="61">
        <v>3960</v>
      </c>
      <c r="F295" s="62"/>
      <c r="G295" s="78"/>
      <c r="H295" s="65">
        <f t="shared" si="115"/>
        <v>24.567839999999997</v>
      </c>
      <c r="I295" s="65">
        <f t="shared" si="116"/>
        <v>30.507839999999998</v>
      </c>
      <c r="J295" s="47"/>
      <c r="K295" s="47"/>
      <c r="L295" s="47"/>
      <c r="M295" s="47"/>
      <c r="N295" s="84">
        <v>0.9</v>
      </c>
    </row>
    <row r="296" spans="1:14" x14ac:dyDescent="0.2">
      <c r="A296" s="85" t="s">
        <v>672</v>
      </c>
      <c r="B296" s="62">
        <f t="shared" si="114"/>
        <v>10.115424000000001</v>
      </c>
      <c r="C296" s="63">
        <v>0.72</v>
      </c>
      <c r="D296" s="62"/>
      <c r="E296" s="61">
        <v>4092</v>
      </c>
      <c r="F296" s="62"/>
      <c r="G296" s="78"/>
      <c r="H296" s="65">
        <f t="shared" si="115"/>
        <v>25.386767999999996</v>
      </c>
      <c r="I296" s="65">
        <f t="shared" si="116"/>
        <v>31.524767999999998</v>
      </c>
      <c r="J296" s="47"/>
      <c r="K296" s="47"/>
      <c r="L296" s="47"/>
      <c r="M296" s="47"/>
      <c r="N296" s="84">
        <v>0.9</v>
      </c>
    </row>
    <row r="297" spans="1:14" x14ac:dyDescent="0.2">
      <c r="A297" s="85" t="s">
        <v>673</v>
      </c>
      <c r="B297" s="62">
        <f t="shared" si="114"/>
        <v>10.530720000000001</v>
      </c>
      <c r="C297" s="63">
        <v>0.72</v>
      </c>
      <c r="D297" s="62"/>
      <c r="E297" s="61">
        <v>4260</v>
      </c>
      <c r="F297" s="62"/>
      <c r="G297" s="78"/>
      <c r="H297" s="65">
        <f t="shared" si="115"/>
        <v>26.429039999999997</v>
      </c>
      <c r="I297" s="65">
        <f t="shared" si="116"/>
        <v>32.819040000000001</v>
      </c>
      <c r="J297" s="47"/>
      <c r="K297" s="47"/>
      <c r="L297" s="47"/>
      <c r="M297" s="47"/>
      <c r="N297" s="84">
        <v>0.9</v>
      </c>
    </row>
    <row r="298" spans="1:14" x14ac:dyDescent="0.2">
      <c r="A298" s="93" t="s">
        <v>1032</v>
      </c>
      <c r="B298" s="62">
        <f t="shared" ref="B298" si="124">+($B$271/750)*N298*E298</f>
        <v>12.360000000000001</v>
      </c>
      <c r="C298" s="63">
        <v>0.72</v>
      </c>
      <c r="D298" s="62"/>
      <c r="E298" s="61">
        <v>5000</v>
      </c>
      <c r="F298" s="62"/>
      <c r="G298" s="78"/>
      <c r="H298" s="65">
        <f t="shared" ref="H298" si="125">(($H$271/$E$271*N298)*E298)</f>
        <v>31.019999999999996</v>
      </c>
      <c r="I298" s="65">
        <f t="shared" ref="I298" si="126">(($I$271/$E$271)*N298)*E298</f>
        <v>38.519999999999996</v>
      </c>
      <c r="J298" s="47"/>
      <c r="K298" s="47"/>
      <c r="L298" s="47"/>
      <c r="M298" s="47"/>
      <c r="N298" s="84">
        <v>0.9</v>
      </c>
    </row>
    <row r="299" spans="1:14" x14ac:dyDescent="0.2">
      <c r="A299" s="85" t="s">
        <v>674</v>
      </c>
      <c r="B299" s="62">
        <f t="shared" si="114"/>
        <v>19.578240000000001</v>
      </c>
      <c r="C299" s="63">
        <v>0.72</v>
      </c>
      <c r="D299" s="62"/>
      <c r="E299" s="61">
        <v>7920</v>
      </c>
      <c r="F299" s="62"/>
      <c r="G299" s="78"/>
      <c r="H299" s="65">
        <f t="shared" si="115"/>
        <v>49.135679999999994</v>
      </c>
      <c r="I299" s="65">
        <f t="shared" si="116"/>
        <v>61.015679999999996</v>
      </c>
      <c r="J299" s="47"/>
      <c r="K299" s="47"/>
      <c r="L299" s="47"/>
      <c r="M299" s="47"/>
      <c r="N299" s="84">
        <v>0.9</v>
      </c>
    </row>
    <row r="300" spans="1:14" x14ac:dyDescent="0.2">
      <c r="A300" s="93" t="s">
        <v>888</v>
      </c>
      <c r="B300" s="62">
        <f t="shared" ref="B300" si="127">+($B$271/750)*N300*E300</f>
        <v>20.230848000000002</v>
      </c>
      <c r="C300" s="63">
        <v>0.72</v>
      </c>
      <c r="D300" s="62"/>
      <c r="E300" s="61">
        <v>8184</v>
      </c>
      <c r="F300" s="62"/>
      <c r="G300" s="78"/>
      <c r="H300" s="65">
        <f t="shared" ref="H300" si="128">(($H$271/$E$271*N300)*E300)</f>
        <v>50.773535999999993</v>
      </c>
      <c r="I300" s="65">
        <f t="shared" ref="I300" si="129">(($I$271/$E$271)*N300)*E300</f>
        <v>63.049535999999996</v>
      </c>
      <c r="J300" s="47"/>
      <c r="K300" s="47"/>
      <c r="L300" s="47"/>
      <c r="M300" s="47"/>
      <c r="N300" s="84">
        <v>0.9</v>
      </c>
    </row>
    <row r="301" spans="1:14" x14ac:dyDescent="0.2">
      <c r="A301" s="93" t="s">
        <v>873</v>
      </c>
      <c r="B301" s="62">
        <f t="shared" ref="B301:B303" si="130">+($B$271/750)*N301*E301</f>
        <v>49.440000000000005</v>
      </c>
      <c r="C301" s="63">
        <v>0.72</v>
      </c>
      <c r="D301" s="62"/>
      <c r="E301" s="61">
        <v>20000</v>
      </c>
      <c r="F301" s="62"/>
      <c r="G301" s="78"/>
      <c r="H301" s="65"/>
      <c r="I301" s="65"/>
      <c r="J301" s="47"/>
      <c r="K301" s="47"/>
      <c r="L301" s="47"/>
      <c r="M301" s="47"/>
      <c r="N301" s="84">
        <v>0.9</v>
      </c>
    </row>
    <row r="302" spans="1:14" x14ac:dyDescent="0.2">
      <c r="A302" s="93" t="s">
        <v>874</v>
      </c>
      <c r="B302" s="62">
        <f t="shared" si="130"/>
        <v>74.160000000000011</v>
      </c>
      <c r="C302" s="63">
        <v>0.72</v>
      </c>
      <c r="D302" s="62"/>
      <c r="E302" s="61">
        <v>30000</v>
      </c>
      <c r="F302" s="62"/>
      <c r="G302" s="78"/>
      <c r="H302" s="65"/>
      <c r="I302" s="65"/>
      <c r="J302" s="47"/>
      <c r="K302" s="47"/>
      <c r="L302" s="47"/>
      <c r="M302" s="47"/>
      <c r="N302" s="84">
        <v>0.9</v>
      </c>
    </row>
    <row r="303" spans="1:14" x14ac:dyDescent="0.2">
      <c r="A303" s="93" t="s">
        <v>875</v>
      </c>
      <c r="B303" s="62">
        <f t="shared" si="130"/>
        <v>123.60000000000001</v>
      </c>
      <c r="C303" s="63">
        <v>0.72</v>
      </c>
      <c r="D303" s="62"/>
      <c r="E303" s="61">
        <v>50000</v>
      </c>
      <c r="F303" s="62"/>
      <c r="G303" s="78"/>
      <c r="H303" s="65"/>
      <c r="I303" s="65"/>
      <c r="J303" s="47"/>
      <c r="K303" s="47"/>
      <c r="L303" s="47"/>
      <c r="M303" s="47"/>
      <c r="N303" s="84">
        <v>0.9</v>
      </c>
    </row>
    <row r="304" spans="1:14" x14ac:dyDescent="0.2">
      <c r="A304" s="90" t="s">
        <v>675</v>
      </c>
      <c r="B304" s="62">
        <f t="shared" ref="B304:B308" si="131">ROUND(+($B$14/750)*N304*E304,2)</f>
        <v>0.33</v>
      </c>
      <c r="C304" s="63">
        <v>1</v>
      </c>
      <c r="D304" s="62"/>
      <c r="E304" s="61">
        <v>20</v>
      </c>
      <c r="F304" s="61"/>
      <c r="G304" s="64"/>
      <c r="H304" s="65">
        <f t="shared" ref="H304:H308" si="132">(($H$14/$E$14)*N304)*E304</f>
        <v>0.80298666666666674</v>
      </c>
      <c r="I304" s="65">
        <f t="shared" ref="I304:I308" si="133">(($I$14/$E$14)*N304)*E304</f>
        <v>1.0837333333333332</v>
      </c>
      <c r="J304" s="65">
        <f t="shared" ref="J304:J308" si="134">(($J$14/$E$14)*N304)*E304</f>
        <v>1.346986666666667</v>
      </c>
      <c r="K304" s="65">
        <f t="shared" ref="K304:K308" si="135">(($K$14/$E$14)*N304)*E304</f>
        <v>1.6149333333333336</v>
      </c>
      <c r="L304" s="47"/>
      <c r="M304" s="47"/>
      <c r="N304" s="84">
        <v>1.6</v>
      </c>
    </row>
    <row r="305" spans="1:14" x14ac:dyDescent="0.2">
      <c r="A305" s="90" t="s">
        <v>676</v>
      </c>
      <c r="B305" s="62">
        <f t="shared" si="131"/>
        <v>0.49</v>
      </c>
      <c r="C305" s="63">
        <v>1</v>
      </c>
      <c r="D305" s="62"/>
      <c r="E305" s="61">
        <v>30</v>
      </c>
      <c r="F305" s="61"/>
      <c r="G305" s="64"/>
      <c r="H305" s="65">
        <f t="shared" si="132"/>
        <v>1.20448</v>
      </c>
      <c r="I305" s="65">
        <f t="shared" si="133"/>
        <v>1.6255999999999999</v>
      </c>
      <c r="J305" s="65">
        <f t="shared" si="134"/>
        <v>2.0204800000000005</v>
      </c>
      <c r="K305" s="65">
        <f t="shared" si="135"/>
        <v>2.4224000000000001</v>
      </c>
      <c r="L305" s="47"/>
      <c r="M305" s="47"/>
      <c r="N305" s="84">
        <v>1.6</v>
      </c>
    </row>
    <row r="306" spans="1:14" x14ac:dyDescent="0.2">
      <c r="A306" s="90" t="s">
        <v>677</v>
      </c>
      <c r="B306" s="62">
        <f t="shared" si="131"/>
        <v>0.66</v>
      </c>
      <c r="C306" s="63">
        <v>1</v>
      </c>
      <c r="D306" s="62"/>
      <c r="E306" s="61">
        <v>40</v>
      </c>
      <c r="F306" s="61"/>
      <c r="G306" s="64"/>
      <c r="H306" s="65">
        <f t="shared" si="132"/>
        <v>1.6059733333333335</v>
      </c>
      <c r="I306" s="65">
        <f t="shared" si="133"/>
        <v>2.1674666666666664</v>
      </c>
      <c r="J306" s="65">
        <f t="shared" si="134"/>
        <v>2.693973333333334</v>
      </c>
      <c r="K306" s="65">
        <f t="shared" si="135"/>
        <v>3.2298666666666671</v>
      </c>
      <c r="L306" s="47"/>
      <c r="M306" s="47"/>
      <c r="N306" s="84">
        <v>1.6</v>
      </c>
    </row>
    <row r="307" spans="1:14" x14ac:dyDescent="0.2">
      <c r="A307" s="90" t="s">
        <v>678</v>
      </c>
      <c r="B307" s="62">
        <f t="shared" si="131"/>
        <v>0.82</v>
      </c>
      <c r="C307" s="63">
        <v>1</v>
      </c>
      <c r="D307" s="62"/>
      <c r="E307" s="61">
        <v>50</v>
      </c>
      <c r="F307" s="61"/>
      <c r="G307" s="64"/>
      <c r="H307" s="65">
        <f t="shared" si="132"/>
        <v>2.0074666666666667</v>
      </c>
      <c r="I307" s="65">
        <f t="shared" si="133"/>
        <v>2.7093333333333329</v>
      </c>
      <c r="J307" s="65">
        <f t="shared" si="134"/>
        <v>3.3674666666666671</v>
      </c>
      <c r="K307" s="65">
        <f t="shared" si="135"/>
        <v>4.0373333333333337</v>
      </c>
      <c r="L307" s="47"/>
      <c r="M307" s="47"/>
      <c r="N307" s="84">
        <v>1.6</v>
      </c>
    </row>
    <row r="308" spans="1:14" x14ac:dyDescent="0.2">
      <c r="A308" s="90" t="s">
        <v>679</v>
      </c>
      <c r="B308" s="62">
        <f t="shared" si="131"/>
        <v>0.98</v>
      </c>
      <c r="C308" s="63">
        <v>1</v>
      </c>
      <c r="D308" s="62"/>
      <c r="E308" s="61">
        <v>60</v>
      </c>
      <c r="F308" s="61"/>
      <c r="G308" s="64"/>
      <c r="H308" s="65">
        <f t="shared" si="132"/>
        <v>2.40896</v>
      </c>
      <c r="I308" s="65">
        <f t="shared" si="133"/>
        <v>3.2511999999999999</v>
      </c>
      <c r="J308" s="65">
        <f t="shared" si="134"/>
        <v>4.040960000000001</v>
      </c>
      <c r="K308" s="65">
        <f t="shared" si="135"/>
        <v>4.8448000000000002</v>
      </c>
      <c r="L308" s="47"/>
      <c r="M308" s="47"/>
      <c r="N308" s="84">
        <v>1.6</v>
      </c>
    </row>
  </sheetData>
  <autoFilter ref="A1:N308"/>
  <pageMargins left="0.7" right="0.7" top="0.75" bottom="0.75" header="0.3" footer="0.3"/>
  <pageSetup scale="65" fitToHeight="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GENERAL APP</vt:lpstr>
      <vt:lpstr>Tab # 2 Organic Definition</vt:lpstr>
      <vt:lpstr>Origin Declaration</vt:lpstr>
      <vt:lpstr>Currency</vt:lpstr>
      <vt:lpstr>Freight Point</vt:lpstr>
      <vt:lpstr>Country</vt:lpstr>
      <vt:lpstr>Product Type</vt:lpstr>
      <vt:lpstr>Product Class</vt:lpstr>
      <vt:lpstr>Markup</vt:lpstr>
      <vt:lpstr>Duty</vt:lpstr>
      <vt:lpstr>Bottle Deposit</vt:lpstr>
      <vt:lpstr>Listing Type</vt:lpstr>
      <vt:lpstr>BottleDeposit</vt:lpstr>
      <vt:lpstr>Country</vt:lpstr>
      <vt:lpstr>Currency</vt:lpstr>
      <vt:lpstr>deposit</vt:lpstr>
      <vt:lpstr>Country!FreightPoint</vt:lpstr>
      <vt:lpstr>FreightPoint</vt:lpstr>
      <vt:lpstr>'Listing Type'!ListingType</vt:lpstr>
      <vt:lpstr>ListingType</vt:lpstr>
      <vt:lpstr>'GENERAL APP'!Print_Area</vt:lpstr>
      <vt:lpstr>'Origin Declaration'!Print_Area</vt:lpstr>
      <vt:lpstr>Duty!Print_Titles</vt:lpstr>
      <vt:lpstr>'GENERAL APP'!Print_Titles</vt:lpstr>
      <vt:lpstr>ProductClass</vt:lpstr>
      <vt:lpstr>'Product Class'!ProductType</vt:lpstr>
      <vt:lpstr>ProductType</vt:lpstr>
      <vt:lpstr>Style</vt:lpstr>
      <vt:lpstr>Type_of_Application</vt:lpstr>
    </vt:vector>
  </TitlesOfParts>
  <Company>Newfoundland Liquor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Simms</dc:creator>
  <cp:lastModifiedBy>LeGrow, Roy</cp:lastModifiedBy>
  <cp:lastPrinted>2020-06-23T13:56:15Z</cp:lastPrinted>
  <dcterms:created xsi:type="dcterms:W3CDTF">2003-04-02T20:05:18Z</dcterms:created>
  <dcterms:modified xsi:type="dcterms:W3CDTF">2020-06-23T17:40:42Z</dcterms:modified>
</cp:coreProperties>
</file>